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1813CCB9-31F1-44A6-A735-0874494A2716}"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4" r:id="rId15"/>
    <sheet name="CAPM" sheetId="35" r:id="rId16"/>
    <sheet name="Single Stage Div Growth Model" sheetId="19" r:id="rId17"/>
    <sheet name="Two-Stage Dividend Growth Model" sheetId="20" r:id="rId18"/>
    <sheet name="Multiples" sheetId="31" r:id="rId19"/>
    <sheet name="Info" sheetId="9" r:id="rId20"/>
  </sheets>
  <definedNames>
    <definedName name="_xlnm.Print_Area" localSheetId="6">'Beta for CAPM'!$A$1:$I$46</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Debt'!$A$1:$K$43</definedName>
    <definedName name="_xlnm.Print_Area" localSheetId="11">'Direct GCF'!$A$1:$N$44</definedName>
    <definedName name="_xlnm.Print_Area" localSheetId="12">'Direct NOPAT'!$A$1:$N$78</definedName>
    <definedName name="_xlnm.Print_Area" localSheetId="7">'Dividends '!$A$1:$K$40</definedName>
    <definedName name="_xlnm.Print_Area" localSheetId="8">Earnings!$A$1:$K$40</definedName>
    <definedName name="_xlnm.Print_Area" localSheetId="13">'Growth &amp; Inflation Rates'!$A$1:$H$116</definedName>
    <definedName name="_xlnm.Print_Area" localSheetId="14">'Indicated Yield Equity Rate '!$A$1:$F$63</definedName>
    <definedName name="_xlnm.Print_Area" localSheetId="5">'Maintenance CapEx'!$A$1:$L$86</definedName>
    <definedName name="_xlnm.Print_Area" localSheetId="4">'Market to Book Ratios'!$A$1:$G$78</definedName>
    <definedName name="_xlnm.Print_Area" localSheetId="18">Multiples!$A$1:$J$48</definedName>
    <definedName name="_xlnm.Print_Area" localSheetId="3">'S&amp;D'!$A$1:$L$89</definedName>
    <definedName name="_xlnm.Print_Area" localSheetId="16">'Single Stage Div Growth Model'!$A$1:$K$54</definedName>
    <definedName name="_xlnm.Print_Area" localSheetId="17">'Two-Stage Dividend Growth Model'!$A$1:$I$52</definedName>
    <definedName name="_xlnm.Print_Area" localSheetId="1">'Yield CapRate'!$A$1:$H$35</definedName>
    <definedName name="_xlnm.Print_Area" localSheetId="10">'Yield Debt'!$A$1:$M$72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F85" i="24"/>
  <c r="D85" i="24"/>
  <c r="F84" i="24"/>
  <c r="D84" i="24"/>
  <c r="F83" i="24"/>
  <c r="D83" i="24"/>
  <c r="F82" i="24"/>
  <c r="D82" i="24"/>
  <c r="F81" i="24"/>
  <c r="D81" i="24"/>
  <c r="F80" i="24"/>
  <c r="D80" i="24"/>
  <c r="F79" i="24"/>
  <c r="D79" i="24"/>
  <c r="D89" i="24" s="1"/>
  <c r="F89" i="24" s="1"/>
  <c r="D46" i="35"/>
  <c r="C46" i="35"/>
  <c r="B46" i="35"/>
  <c r="E46" i="35" s="1"/>
  <c r="A46" i="35"/>
  <c r="C20" i="35"/>
  <c r="D20" i="35"/>
  <c r="D23" i="7"/>
  <c r="A16" i="6"/>
  <c r="D16" i="7"/>
  <c r="D15" i="10"/>
  <c r="A6" i="31"/>
  <c r="A6" i="20"/>
  <c r="A6" i="19"/>
  <c r="B58" i="35"/>
  <c r="E58" i="35" s="1"/>
  <c r="A59" i="35"/>
  <c r="A58" i="35"/>
  <c r="A57" i="35"/>
  <c r="A48" i="35"/>
  <c r="A47" i="35"/>
  <c r="A45" i="35"/>
  <c r="B48" i="35"/>
  <c r="E48" i="35" s="1"/>
  <c r="B47" i="35"/>
  <c r="E47" i="35" s="1"/>
  <c r="A6" i="35"/>
  <c r="A6" i="34"/>
  <c r="A7" i="24"/>
  <c r="A6" i="12"/>
  <c r="A6" i="5"/>
  <c r="A6" i="8"/>
  <c r="A9" i="29"/>
  <c r="A8" i="11"/>
  <c r="A8" i="14"/>
  <c r="A6" i="13"/>
  <c r="A6" i="27"/>
  <c r="A6" i="17"/>
  <c r="C16" i="35"/>
  <c r="C42" i="35" s="1"/>
  <c r="E16" i="35"/>
  <c r="E29" i="35" s="1"/>
  <c r="B61" i="35"/>
  <c r="E61" i="35" s="1"/>
  <c r="B59" i="35"/>
  <c r="E59" i="35" s="1"/>
  <c r="B57" i="35"/>
  <c r="E57" i="35" s="1"/>
  <c r="B55" i="35"/>
  <c r="E55" i="35" s="1"/>
  <c r="B54" i="35"/>
  <c r="E54" i="35" s="1"/>
  <c r="B52" i="35"/>
  <c r="E52" i="35" s="1"/>
  <c r="B50" i="35"/>
  <c r="E50" i="35" s="1"/>
  <c r="E45" i="35"/>
  <c r="B45" i="35"/>
  <c r="B43" i="35"/>
  <c r="E43" i="35" s="1"/>
  <c r="B42" i="35"/>
  <c r="E42" i="35" s="1"/>
  <c r="D45" i="34"/>
  <c r="D44" i="34"/>
  <c r="D43" i="34"/>
  <c r="D42" i="34"/>
  <c r="J27" i="3"/>
  <c r="C35" i="35" l="1"/>
  <c r="D35" i="35" s="1"/>
  <c r="E21" i="35"/>
  <c r="F47" i="35" s="1"/>
  <c r="C21" i="35"/>
  <c r="D16" i="35"/>
  <c r="F16" i="35" s="1"/>
  <c r="D14" i="34" s="1"/>
  <c r="C22" i="35"/>
  <c r="E22" i="35"/>
  <c r="F48" i="35" s="1"/>
  <c r="E26" i="35"/>
  <c r="F52" i="35" s="1"/>
  <c r="E17" i="35"/>
  <c r="E20" i="35" s="1"/>
  <c r="F46" i="35" s="1"/>
  <c r="G46" i="35" s="1"/>
  <c r="D31" i="34" s="1"/>
  <c r="E28" i="35"/>
  <c r="F54" i="35" s="1"/>
  <c r="E35" i="35"/>
  <c r="F61" i="35" s="1"/>
  <c r="E33" i="35"/>
  <c r="F59" i="35" s="1"/>
  <c r="E19" i="35"/>
  <c r="F45" i="35" s="1"/>
  <c r="E24" i="35"/>
  <c r="E31" i="35"/>
  <c r="F57" i="35" s="1"/>
  <c r="D42" i="35"/>
  <c r="C17" i="35"/>
  <c r="C32" i="35" s="1"/>
  <c r="C19" i="35"/>
  <c r="C45" i="35" s="1"/>
  <c r="C24" i="35"/>
  <c r="C26" i="35"/>
  <c r="C28" i="35"/>
  <c r="C29" i="35"/>
  <c r="C31" i="35"/>
  <c r="C33" i="35"/>
  <c r="F42" i="35"/>
  <c r="F50" i="35"/>
  <c r="F55" i="35"/>
  <c r="F20" i="35" l="1"/>
  <c r="D17" i="34" s="1"/>
  <c r="F43" i="35"/>
  <c r="E32" i="35"/>
  <c r="F58" i="35" s="1"/>
  <c r="D32" i="35"/>
  <c r="F32" i="35" s="1"/>
  <c r="D25" i="34" s="1"/>
  <c r="C58" i="35"/>
  <c r="D58" i="35" s="1"/>
  <c r="F35" i="35"/>
  <c r="D27" i="34" s="1"/>
  <c r="D22" i="35"/>
  <c r="F22" i="35" s="1"/>
  <c r="D19" i="34" s="1"/>
  <c r="C48" i="35"/>
  <c r="D48" i="35" s="1"/>
  <c r="G48" i="35" s="1"/>
  <c r="D33" i="34" s="1"/>
  <c r="D21" i="35"/>
  <c r="F21" i="35" s="1"/>
  <c r="D18" i="34" s="1"/>
  <c r="C47" i="35"/>
  <c r="D47" i="35" s="1"/>
  <c r="G47" i="35" s="1"/>
  <c r="D32" i="34" s="1"/>
  <c r="G42" i="35"/>
  <c r="D28" i="34" s="1"/>
  <c r="C55" i="35"/>
  <c r="D55" i="35" s="1"/>
  <c r="G55" i="35" s="1"/>
  <c r="D37" i="34" s="1"/>
  <c r="D29" i="35"/>
  <c r="F29" i="35" s="1"/>
  <c r="D23" i="34" s="1"/>
  <c r="C59" i="35"/>
  <c r="D59" i="35" s="1"/>
  <c r="G59" i="35" s="1"/>
  <c r="D40" i="34" s="1"/>
  <c r="D45" i="35"/>
  <c r="G45" i="35" s="1"/>
  <c r="D30" i="34" s="1"/>
  <c r="D19" i="35"/>
  <c r="F19" i="35" s="1"/>
  <c r="D16" i="34" s="1"/>
  <c r="D28" i="35"/>
  <c r="F28" i="35" s="1"/>
  <c r="D22" i="34" s="1"/>
  <c r="C54" i="35"/>
  <c r="D54" i="35" s="1"/>
  <c r="G54" i="35" s="1"/>
  <c r="D36" i="34" s="1"/>
  <c r="D17" i="35"/>
  <c r="F17" i="35" s="1"/>
  <c r="D15" i="34" s="1"/>
  <c r="C43" i="35"/>
  <c r="D43" i="35" s="1"/>
  <c r="D33" i="35"/>
  <c r="F33" i="35" s="1"/>
  <c r="D26" i="34" s="1"/>
  <c r="C61" i="35"/>
  <c r="D61" i="35" s="1"/>
  <c r="G61" i="35" s="1"/>
  <c r="D41" i="34" s="1"/>
  <c r="C52" i="35"/>
  <c r="D52" i="35" s="1"/>
  <c r="G52" i="35" s="1"/>
  <c r="D35" i="34" s="1"/>
  <c r="D26" i="35"/>
  <c r="F26" i="35" s="1"/>
  <c r="D21" i="34" s="1"/>
  <c r="D31" i="35"/>
  <c r="F31" i="35" s="1"/>
  <c r="D24" i="34" s="1"/>
  <c r="C57" i="35"/>
  <c r="D57" i="35" s="1"/>
  <c r="G57" i="35" s="1"/>
  <c r="D38" i="34" s="1"/>
  <c r="D24" i="35"/>
  <c r="F24" i="35" s="1"/>
  <c r="D20" i="34" s="1"/>
  <c r="C50" i="35"/>
  <c r="D50" i="35" s="1"/>
  <c r="G50" i="35" s="1"/>
  <c r="D34" i="34" s="1"/>
  <c r="C23" i="11"/>
  <c r="C24" i="11"/>
  <c r="C25" i="11"/>
  <c r="C26" i="11"/>
  <c r="C27" i="11"/>
  <c r="C28" i="11"/>
  <c r="C29" i="11"/>
  <c r="C30" i="11"/>
  <c r="C31" i="11"/>
  <c r="C32" i="11"/>
  <c r="C33" i="11"/>
  <c r="C34" i="11"/>
  <c r="C35" i="11"/>
  <c r="C21" i="11"/>
  <c r="C22" i="11"/>
  <c r="C20" i="11"/>
  <c r="G58" i="35" l="1"/>
  <c r="D39" i="34" s="1"/>
  <c r="G43" i="35"/>
  <c r="D29" i="34" s="1"/>
  <c r="D49" i="34" s="1"/>
  <c r="D51" i="34"/>
  <c r="D50" i="34"/>
  <c r="F21" i="20"/>
  <c r="F33" i="20" l="1"/>
  <c r="F29" i="20"/>
  <c r="F25" i="20"/>
  <c r="F36" i="20"/>
  <c r="F32" i="20"/>
  <c r="F28" i="20"/>
  <c r="F24" i="20"/>
  <c r="F30" i="20"/>
  <c r="F35" i="20"/>
  <c r="F31" i="20"/>
  <c r="F27" i="20"/>
  <c r="F23" i="20"/>
  <c r="F34" i="20"/>
  <c r="F26" i="20"/>
  <c r="F22" i="20"/>
  <c r="G24" i="24"/>
  <c r="E28" i="13"/>
  <c r="G34" i="13"/>
  <c r="F34" i="13"/>
  <c r="G33" i="13"/>
  <c r="F33" i="13"/>
  <c r="G32" i="13"/>
  <c r="F32" i="13"/>
  <c r="G31" i="13"/>
  <c r="F31" i="13"/>
  <c r="G30" i="13"/>
  <c r="F30" i="13"/>
  <c r="G29" i="13"/>
  <c r="F29" i="13"/>
  <c r="G28" i="13"/>
  <c r="F28" i="13"/>
  <c r="G27" i="13"/>
  <c r="F27" i="13"/>
  <c r="G26" i="13"/>
  <c r="F26" i="13"/>
  <c r="G25" i="13"/>
  <c r="F25" i="13"/>
  <c r="G24" i="13"/>
  <c r="G23" i="13"/>
  <c r="F23" i="13"/>
  <c r="G22" i="13"/>
  <c r="F22" i="13"/>
  <c r="G21" i="13"/>
  <c r="F21" i="13"/>
  <c r="G20" i="13"/>
  <c r="F20" i="13"/>
  <c r="G19" i="13"/>
  <c r="F19" i="13"/>
  <c r="G55" i="3" l="1"/>
  <c r="J30" i="3"/>
  <c r="H30" i="3"/>
  <c r="G54" i="3"/>
  <c r="J29" i="3"/>
  <c r="G53" i="3"/>
  <c r="J28" i="3"/>
  <c r="G57" i="3"/>
  <c r="G56" i="3"/>
  <c r="E29" i="11"/>
  <c r="D29" i="11"/>
  <c r="J31" i="3"/>
  <c r="G50" i="3"/>
  <c r="G52" i="3"/>
  <c r="F24" i="13" s="1"/>
  <c r="E25" i="11"/>
  <c r="D25" i="11"/>
  <c r="J32" i="3"/>
  <c r="E30" i="11"/>
  <c r="D30" i="11"/>
  <c r="G58" i="3"/>
  <c r="J33" i="3"/>
  <c r="E32" i="11"/>
  <c r="D32" i="11"/>
  <c r="F59" i="3"/>
  <c r="G59" i="3"/>
  <c r="J34" i="3"/>
  <c r="E22" i="29"/>
  <c r="G51" i="3"/>
  <c r="E26" i="29"/>
  <c r="I26" i="3"/>
  <c r="J26" i="3"/>
  <c r="J25" i="3"/>
  <c r="H25" i="3"/>
  <c r="E22" i="11"/>
  <c r="D22" i="11"/>
  <c r="J24" i="3"/>
  <c r="G49" i="3" s="1"/>
  <c r="F61" i="3"/>
  <c r="E33" i="11"/>
  <c r="D33" i="11"/>
  <c r="G60" i="3"/>
  <c r="J35" i="3"/>
  <c r="E62" i="3"/>
  <c r="J36" i="3"/>
  <c r="G61" i="3" s="1"/>
  <c r="E34" i="11"/>
  <c r="D34" i="11"/>
  <c r="G62" i="3"/>
  <c r="J37" i="3"/>
  <c r="E35" i="11"/>
  <c r="D35" i="11"/>
  <c r="E21" i="11"/>
  <c r="J23" i="3"/>
  <c r="G48" i="3" s="1"/>
  <c r="G47" i="3"/>
  <c r="J22" i="3"/>
  <c r="E49" i="29" s="1"/>
  <c r="C61" i="3"/>
  <c r="E36" i="20"/>
  <c r="E35" i="20"/>
  <c r="E34" i="20"/>
  <c r="E33" i="20"/>
  <c r="E32" i="20"/>
  <c r="E31" i="20"/>
  <c r="E30" i="20"/>
  <c r="E29" i="20"/>
  <c r="E28" i="20"/>
  <c r="E27" i="20"/>
  <c r="E26" i="20"/>
  <c r="E25" i="20"/>
  <c r="E24" i="20"/>
  <c r="E23" i="20"/>
  <c r="E22"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A36" i="20"/>
  <c r="A35" i="20"/>
  <c r="A34" i="20"/>
  <c r="A33" i="20"/>
  <c r="A32" i="20"/>
  <c r="A31" i="20"/>
  <c r="A30" i="20"/>
  <c r="A29" i="20"/>
  <c r="A28" i="20"/>
  <c r="A27" i="20"/>
  <c r="A26" i="20"/>
  <c r="A25" i="20"/>
  <c r="A24" i="20"/>
  <c r="A23" i="20"/>
  <c r="A22" i="20"/>
  <c r="A21" i="20"/>
  <c r="D32" i="19"/>
  <c r="D31" i="19"/>
  <c r="D30" i="19"/>
  <c r="D29" i="19"/>
  <c r="D28" i="19"/>
  <c r="D27" i="19"/>
  <c r="D26" i="19"/>
  <c r="D25" i="19"/>
  <c r="D24" i="19"/>
  <c r="D23" i="19"/>
  <c r="D22" i="19"/>
  <c r="D21" i="19"/>
  <c r="D20" i="19"/>
  <c r="D19" i="19"/>
  <c r="D18" i="19"/>
  <c r="C32" i="19"/>
  <c r="B32" i="19"/>
  <c r="A32" i="19"/>
  <c r="C31" i="19"/>
  <c r="B31" i="19"/>
  <c r="A31" i="19"/>
  <c r="C30" i="19"/>
  <c r="B30" i="19"/>
  <c r="A30" i="19"/>
  <c r="C29" i="19"/>
  <c r="B29" i="19"/>
  <c r="A29" i="19"/>
  <c r="C28" i="19"/>
  <c r="B28" i="19"/>
  <c r="A28" i="19"/>
  <c r="C27" i="19"/>
  <c r="B27" i="19"/>
  <c r="A27" i="19"/>
  <c r="C26" i="19"/>
  <c r="B26" i="19"/>
  <c r="A26" i="19"/>
  <c r="C25" i="19"/>
  <c r="B25" i="19"/>
  <c r="A25" i="19"/>
  <c r="C24" i="19"/>
  <c r="B24" i="19"/>
  <c r="A24" i="19"/>
  <c r="C23" i="19"/>
  <c r="B23" i="19"/>
  <c r="A23" i="19"/>
  <c r="C22" i="19"/>
  <c r="B22" i="19"/>
  <c r="A22" i="19"/>
  <c r="C21" i="19"/>
  <c r="B21" i="19"/>
  <c r="A21" i="19"/>
  <c r="C20" i="19"/>
  <c r="B20" i="19"/>
  <c r="A20" i="19"/>
  <c r="C19" i="19"/>
  <c r="B19" i="19"/>
  <c r="A19" i="19"/>
  <c r="C18" i="19"/>
  <c r="B18" i="19"/>
  <c r="A18" i="19"/>
  <c r="C17" i="19"/>
  <c r="B17" i="19"/>
  <c r="A17" i="19"/>
  <c r="E21" i="20"/>
  <c r="C31" i="12" l="1"/>
  <c r="A31" i="12"/>
  <c r="C30" i="12"/>
  <c r="A30" i="12"/>
  <c r="C29" i="12"/>
  <c r="A29" i="12"/>
  <c r="C28" i="12"/>
  <c r="A28" i="12"/>
  <c r="C27" i="12"/>
  <c r="A27" i="12"/>
  <c r="C26" i="12"/>
  <c r="A26" i="12"/>
  <c r="C25" i="12"/>
  <c r="A25" i="12"/>
  <c r="C24" i="12"/>
  <c r="A24" i="12"/>
  <c r="C23" i="12"/>
  <c r="A23" i="12"/>
  <c r="C22" i="12"/>
  <c r="A22" i="12"/>
  <c r="C21" i="12"/>
  <c r="A21" i="12"/>
  <c r="C20" i="12"/>
  <c r="A20" i="12"/>
  <c r="C19" i="12"/>
  <c r="A19" i="12"/>
  <c r="C18" i="12"/>
  <c r="A18" i="12"/>
  <c r="C17" i="12"/>
  <c r="A17" i="12"/>
  <c r="C16" i="12"/>
  <c r="A16" i="12"/>
  <c r="C70" i="12"/>
  <c r="A70" i="12"/>
  <c r="C69" i="12"/>
  <c r="A69" i="12"/>
  <c r="C68" i="12"/>
  <c r="A68" i="12"/>
  <c r="C67" i="12"/>
  <c r="A67" i="12"/>
  <c r="C66" i="12"/>
  <c r="A66" i="12"/>
  <c r="C65" i="12"/>
  <c r="A65" i="12"/>
  <c r="C64" i="12"/>
  <c r="A64" i="12"/>
  <c r="C63" i="12"/>
  <c r="A63" i="12"/>
  <c r="C62" i="12"/>
  <c r="A62" i="12"/>
  <c r="C61" i="12"/>
  <c r="A61" i="12"/>
  <c r="C60" i="12"/>
  <c r="A60" i="12"/>
  <c r="C59" i="12"/>
  <c r="A59" i="12"/>
  <c r="C58" i="12"/>
  <c r="A58" i="12"/>
  <c r="C57" i="12"/>
  <c r="A57" i="12"/>
  <c r="C56" i="12"/>
  <c r="A56" i="12"/>
  <c r="C55" i="12"/>
  <c r="A55" i="12"/>
  <c r="E60" i="29" l="1"/>
  <c r="E58" i="29"/>
  <c r="D58" i="29"/>
  <c r="D57" i="29"/>
  <c r="D62" i="3" l="1"/>
  <c r="E32" i="19" s="1"/>
  <c r="C62" i="3"/>
  <c r="B62" i="3"/>
  <c r="B61" i="3"/>
  <c r="D60" i="3"/>
  <c r="E30" i="19" s="1"/>
  <c r="C60" i="3"/>
  <c r="B60" i="3"/>
  <c r="D59" i="3"/>
  <c r="E29" i="19" s="1"/>
  <c r="C59" i="3"/>
  <c r="B59" i="3"/>
  <c r="D58" i="3"/>
  <c r="E28" i="19" s="1"/>
  <c r="C58" i="3"/>
  <c r="B58" i="3"/>
  <c r="D57" i="3"/>
  <c r="E27" i="19" s="1"/>
  <c r="C57" i="3"/>
  <c r="B57" i="3"/>
  <c r="D56" i="3"/>
  <c r="E26" i="19" s="1"/>
  <c r="C56" i="3"/>
  <c r="B56" i="3"/>
  <c r="C55" i="3"/>
  <c r="B55" i="3"/>
  <c r="D54" i="3"/>
  <c r="E24" i="19" s="1"/>
  <c r="C54" i="3"/>
  <c r="B54" i="3"/>
  <c r="G36" i="8" l="1"/>
  <c r="G35" i="8"/>
  <c r="G34" i="8"/>
  <c r="D70" i="12" l="1"/>
  <c r="F70" i="12" s="1"/>
  <c r="G70" i="12" s="1"/>
  <c r="D69" i="12"/>
  <c r="F69" i="12" s="1"/>
  <c r="G69" i="12" s="1"/>
  <c r="D68" i="12"/>
  <c r="F68" i="12" s="1"/>
  <c r="G68" i="12" s="1"/>
  <c r="D67" i="12"/>
  <c r="F67" i="12" s="1"/>
  <c r="G67" i="12" s="1"/>
  <c r="D66" i="12"/>
  <c r="F66" i="12" s="1"/>
  <c r="G66" i="12" s="1"/>
  <c r="D65" i="12"/>
  <c r="F65" i="12" s="1"/>
  <c r="G65" i="12" s="1"/>
  <c r="D64" i="12"/>
  <c r="F64" i="12" s="1"/>
  <c r="G64" i="12" s="1"/>
  <c r="D63" i="12"/>
  <c r="F63" i="12" s="1"/>
  <c r="G63" i="12" s="1"/>
  <c r="D62" i="12"/>
  <c r="F62" i="12" s="1"/>
  <c r="G62" i="12" s="1"/>
  <c r="D61" i="12"/>
  <c r="F61" i="12" s="1"/>
  <c r="G61" i="12" s="1"/>
  <c r="D60" i="12"/>
  <c r="F60" i="12" s="1"/>
  <c r="G60" i="12" s="1"/>
  <c r="D59" i="12"/>
  <c r="F59" i="12" s="1"/>
  <c r="G59" i="12" s="1"/>
  <c r="D58" i="12"/>
  <c r="F58" i="12" s="1"/>
  <c r="G58" i="12" s="1"/>
  <c r="D57" i="12"/>
  <c r="F57" i="12" s="1"/>
  <c r="G57" i="12" s="1"/>
  <c r="D56" i="12"/>
  <c r="D55" i="12"/>
  <c r="F55" i="12" s="1"/>
  <c r="G55" i="12" s="1"/>
  <c r="E75" i="12"/>
  <c r="E74" i="12"/>
  <c r="F56" i="12" l="1"/>
  <c r="G56" i="12" s="1"/>
  <c r="G74" i="12" s="1"/>
  <c r="F74" i="12" l="1"/>
  <c r="G75" i="12"/>
  <c r="F75" i="12"/>
  <c r="F31" i="3" l="1"/>
  <c r="A29" i="8"/>
  <c r="D31" i="31"/>
  <c r="C31" i="31"/>
  <c r="B31" i="31"/>
  <c r="D30" i="31"/>
  <c r="C30" i="31"/>
  <c r="B30" i="31"/>
  <c r="D29" i="31"/>
  <c r="C29" i="31"/>
  <c r="B29" i="31"/>
  <c r="D28" i="31"/>
  <c r="C28" i="31"/>
  <c r="B28" i="31"/>
  <c r="D27" i="31"/>
  <c r="C27" i="31"/>
  <c r="B27" i="31"/>
  <c r="D26" i="31"/>
  <c r="C26" i="31"/>
  <c r="B26" i="31"/>
  <c r="D25" i="31"/>
  <c r="C25" i="31"/>
  <c r="B25" i="31"/>
  <c r="D24" i="31"/>
  <c r="C24" i="31"/>
  <c r="B24" i="31"/>
  <c r="D23" i="31"/>
  <c r="C23" i="31"/>
  <c r="B23" i="31"/>
  <c r="D22" i="31"/>
  <c r="C22" i="31"/>
  <c r="B22" i="31"/>
  <c r="D21" i="31"/>
  <c r="C21" i="31"/>
  <c r="B21" i="31"/>
  <c r="D20" i="31"/>
  <c r="C20" i="31"/>
  <c r="B20" i="31"/>
  <c r="D19" i="31"/>
  <c r="C19" i="31"/>
  <c r="B19" i="31"/>
  <c r="D18" i="31"/>
  <c r="C18" i="31"/>
  <c r="B18" i="31"/>
  <c r="D17" i="31"/>
  <c r="C17" i="31"/>
  <c r="B17" i="31"/>
  <c r="D16" i="31"/>
  <c r="C16" i="31"/>
  <c r="B16" i="31"/>
  <c r="F16" i="31" l="1"/>
  <c r="G16" i="31" s="1"/>
  <c r="I16" i="31"/>
  <c r="J16" i="31" s="1"/>
  <c r="F20" i="31"/>
  <c r="G20" i="31" s="1"/>
  <c r="I20" i="31"/>
  <c r="J20" i="31" s="1"/>
  <c r="F24" i="31"/>
  <c r="G24" i="31" s="1"/>
  <c r="I24" i="31"/>
  <c r="J24" i="31" s="1"/>
  <c r="F27" i="31"/>
  <c r="G27" i="31" s="1"/>
  <c r="I27" i="31"/>
  <c r="J27" i="31" s="1"/>
  <c r="F19" i="31"/>
  <c r="G19" i="31" s="1"/>
  <c r="I19" i="31"/>
  <c r="J19" i="31" s="1"/>
  <c r="F23" i="31"/>
  <c r="G23" i="31" s="1"/>
  <c r="I23" i="31"/>
  <c r="J23" i="31" s="1"/>
  <c r="F30" i="31"/>
  <c r="G30" i="31" s="1"/>
  <c r="I30" i="31"/>
  <c r="J30" i="31" s="1"/>
  <c r="F18" i="31"/>
  <c r="G18" i="31" s="1"/>
  <c r="I18" i="31"/>
  <c r="J18" i="31" s="1"/>
  <c r="F22" i="31"/>
  <c r="G22" i="31" s="1"/>
  <c r="I22" i="31"/>
  <c r="J22" i="31" s="1"/>
  <c r="F26" i="31"/>
  <c r="G26" i="31" s="1"/>
  <c r="I26" i="31"/>
  <c r="J26" i="31" s="1"/>
  <c r="F29" i="31"/>
  <c r="G29" i="31" s="1"/>
  <c r="I29" i="31"/>
  <c r="J29" i="31" s="1"/>
  <c r="F31" i="31"/>
  <c r="G31" i="31" s="1"/>
  <c r="I31" i="31"/>
  <c r="J31" i="31" s="1"/>
  <c r="F17" i="31"/>
  <c r="G17" i="31" s="1"/>
  <c r="I17" i="31"/>
  <c r="J17" i="31" s="1"/>
  <c r="F21" i="31"/>
  <c r="G21" i="31" s="1"/>
  <c r="I21" i="31"/>
  <c r="J21" i="31" s="1"/>
  <c r="F25" i="31"/>
  <c r="G25" i="31" s="1"/>
  <c r="I25" i="31"/>
  <c r="J25" i="31" s="1"/>
  <c r="F28" i="31"/>
  <c r="G28" i="31" s="1"/>
  <c r="I28" i="31"/>
  <c r="J28" i="31" s="1"/>
  <c r="G36" i="31" l="1"/>
  <c r="G35" i="31"/>
  <c r="J36" i="31"/>
  <c r="J35" i="31"/>
  <c r="F36" i="31"/>
  <c r="F35" i="31"/>
  <c r="I35" i="31"/>
  <c r="I36" i="31"/>
  <c r="C30" i="8"/>
  <c r="B30" i="8"/>
  <c r="A30" i="8"/>
  <c r="C29" i="8"/>
  <c r="B29" i="8"/>
  <c r="C28" i="8"/>
  <c r="B28" i="8"/>
  <c r="A28" i="8"/>
  <c r="C27" i="8"/>
  <c r="B27" i="8"/>
  <c r="A27" i="8"/>
  <c r="C26" i="8"/>
  <c r="B26" i="8"/>
  <c r="A26" i="8"/>
  <c r="C25" i="8"/>
  <c r="B25" i="8"/>
  <c r="A25" i="8"/>
  <c r="C24" i="8"/>
  <c r="B24" i="8"/>
  <c r="A24" i="8"/>
  <c r="C23" i="8"/>
  <c r="B23" i="8"/>
  <c r="A23" i="8"/>
  <c r="C22" i="8"/>
  <c r="B22" i="8"/>
  <c r="A22" i="8"/>
  <c r="C21" i="8"/>
  <c r="B21" i="8"/>
  <c r="A21" i="8"/>
  <c r="C20" i="8"/>
  <c r="B20" i="8"/>
  <c r="A20" i="8"/>
  <c r="C19" i="8"/>
  <c r="B19" i="8"/>
  <c r="A19" i="8"/>
  <c r="C18" i="8"/>
  <c r="B18" i="8"/>
  <c r="A18" i="8"/>
  <c r="C17" i="8"/>
  <c r="B17" i="8"/>
  <c r="A17" i="8"/>
  <c r="C16" i="8"/>
  <c r="B16" i="8"/>
  <c r="A16" i="8"/>
  <c r="C15" i="8"/>
  <c r="B15" i="8"/>
  <c r="A15" i="8"/>
  <c r="B34" i="13"/>
  <c r="A34" i="13"/>
  <c r="B33" i="13"/>
  <c r="A33" i="13"/>
  <c r="B32" i="13"/>
  <c r="A32" i="13"/>
  <c r="B31" i="13"/>
  <c r="A31" i="13"/>
  <c r="B30" i="13"/>
  <c r="A30" i="13"/>
  <c r="B29" i="13"/>
  <c r="A29" i="13"/>
  <c r="B28" i="13"/>
  <c r="A28" i="13"/>
  <c r="B27" i="13"/>
  <c r="A27" i="13"/>
  <c r="B26" i="13"/>
  <c r="A26" i="13"/>
  <c r="B25" i="13"/>
  <c r="A25" i="13"/>
  <c r="B24" i="13"/>
  <c r="A24" i="13"/>
  <c r="B23" i="13"/>
  <c r="A23" i="13"/>
  <c r="B22" i="13"/>
  <c r="A22" i="13"/>
  <c r="B21" i="13"/>
  <c r="A21" i="13"/>
  <c r="B20" i="13"/>
  <c r="A20" i="13"/>
  <c r="B19" i="13"/>
  <c r="A19" i="13"/>
  <c r="C31" i="27"/>
  <c r="B31" i="27"/>
  <c r="A31" i="27"/>
  <c r="C30" i="27"/>
  <c r="B30" i="27"/>
  <c r="A30" i="27"/>
  <c r="C29" i="27"/>
  <c r="B29" i="27"/>
  <c r="A29" i="27"/>
  <c r="C28" i="27"/>
  <c r="B28" i="27"/>
  <c r="A28" i="27"/>
  <c r="C27" i="27"/>
  <c r="B27" i="27"/>
  <c r="A27" i="27"/>
  <c r="C26" i="27"/>
  <c r="B26" i="27"/>
  <c r="A26" i="27"/>
  <c r="C25" i="27"/>
  <c r="B25" i="27"/>
  <c r="A25" i="27"/>
  <c r="C24" i="27"/>
  <c r="B24" i="27"/>
  <c r="A24" i="27"/>
  <c r="C23" i="27"/>
  <c r="B23" i="27"/>
  <c r="A23" i="27"/>
  <c r="C22" i="27"/>
  <c r="B22" i="27"/>
  <c r="A22" i="27"/>
  <c r="C21" i="27"/>
  <c r="B21" i="27"/>
  <c r="A21" i="27"/>
  <c r="C20" i="27"/>
  <c r="B20" i="27"/>
  <c r="A20" i="27"/>
  <c r="C19" i="27"/>
  <c r="B19" i="27"/>
  <c r="A19" i="27"/>
  <c r="C18" i="27"/>
  <c r="B18" i="27"/>
  <c r="A18" i="27"/>
  <c r="C17" i="27"/>
  <c r="B17" i="27"/>
  <c r="A17" i="27"/>
  <c r="C16" i="27"/>
  <c r="B16" i="27"/>
  <c r="A16" i="2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33" i="14"/>
  <c r="B33" i="14"/>
  <c r="A33" i="14"/>
  <c r="C32" i="14"/>
  <c r="B32" i="14"/>
  <c r="A32" i="14"/>
  <c r="C31" i="14"/>
  <c r="B31" i="14"/>
  <c r="A31" i="14"/>
  <c r="C30" i="14"/>
  <c r="B30" i="14"/>
  <c r="A30" i="14"/>
  <c r="C29" i="14"/>
  <c r="B29" i="14"/>
  <c r="A29" i="14"/>
  <c r="C28" i="14"/>
  <c r="B28" i="14"/>
  <c r="A28" i="14"/>
  <c r="C27" i="14"/>
  <c r="B27" i="14"/>
  <c r="A27" i="14"/>
  <c r="C26" i="14"/>
  <c r="B26" i="14"/>
  <c r="A26" i="14"/>
  <c r="C25" i="14"/>
  <c r="B25" i="14"/>
  <c r="A25" i="14"/>
  <c r="C24" i="14"/>
  <c r="B24" i="14"/>
  <c r="A24" i="14"/>
  <c r="C23" i="14"/>
  <c r="B23" i="14"/>
  <c r="A23" i="14"/>
  <c r="C22" i="14"/>
  <c r="B22" i="14"/>
  <c r="A22" i="14"/>
  <c r="C21" i="14"/>
  <c r="B21" i="14"/>
  <c r="A21" i="14"/>
  <c r="C20" i="14"/>
  <c r="B20" i="14"/>
  <c r="A20" i="14"/>
  <c r="C19" i="14"/>
  <c r="B19" i="14"/>
  <c r="A19" i="14"/>
  <c r="C18" i="14"/>
  <c r="B18" i="14"/>
  <c r="A18" i="14"/>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C37" i="29"/>
  <c r="B37" i="29"/>
  <c r="A37" i="29"/>
  <c r="C36" i="29"/>
  <c r="B36" i="29"/>
  <c r="A36" i="29"/>
  <c r="C35" i="29"/>
  <c r="B35" i="29"/>
  <c r="A35" i="29"/>
  <c r="C34" i="29"/>
  <c r="B34" i="29"/>
  <c r="A34" i="29"/>
  <c r="C33" i="29"/>
  <c r="B33" i="29"/>
  <c r="A33" i="29"/>
  <c r="C32" i="29"/>
  <c r="B32" i="29"/>
  <c r="A32" i="29"/>
  <c r="C31" i="29"/>
  <c r="B31" i="29"/>
  <c r="A31" i="29"/>
  <c r="C30" i="29"/>
  <c r="B30" i="29"/>
  <c r="A30" i="29"/>
  <c r="C29" i="29"/>
  <c r="B29" i="29"/>
  <c r="A29" i="29"/>
  <c r="C28" i="29"/>
  <c r="B28" i="29"/>
  <c r="A28" i="29"/>
  <c r="C27" i="29"/>
  <c r="B27" i="29"/>
  <c r="A27" i="29"/>
  <c r="C26" i="29"/>
  <c r="B26" i="29"/>
  <c r="A26" i="29"/>
  <c r="C25" i="29"/>
  <c r="B25" i="29"/>
  <c r="A25" i="29"/>
  <c r="C24" i="29"/>
  <c r="B24" i="29"/>
  <c r="A24" i="29"/>
  <c r="C23" i="29"/>
  <c r="B23" i="29"/>
  <c r="A23" i="29"/>
  <c r="C22" i="29"/>
  <c r="B22" i="29"/>
  <c r="A22" i="29"/>
  <c r="C64" i="29"/>
  <c r="B64" i="29"/>
  <c r="A64" i="29"/>
  <c r="C63" i="29"/>
  <c r="B63" i="29"/>
  <c r="A63" i="29"/>
  <c r="C62" i="29"/>
  <c r="B62" i="29"/>
  <c r="A62" i="29"/>
  <c r="C61" i="29"/>
  <c r="B61" i="29"/>
  <c r="A61" i="29"/>
  <c r="C60" i="29"/>
  <c r="B60" i="29"/>
  <c r="A60" i="29"/>
  <c r="C59" i="29"/>
  <c r="B59" i="29"/>
  <c r="A59" i="29"/>
  <c r="C58" i="29"/>
  <c r="B58" i="29"/>
  <c r="A58" i="29"/>
  <c r="C57" i="29"/>
  <c r="B57" i="29"/>
  <c r="A57" i="29"/>
  <c r="C56" i="29"/>
  <c r="B56" i="29"/>
  <c r="A56" i="29"/>
  <c r="C55" i="29"/>
  <c r="B55" i="29"/>
  <c r="A55" i="29"/>
  <c r="C54" i="29"/>
  <c r="B54" i="29"/>
  <c r="A54" i="29"/>
  <c r="C53" i="29"/>
  <c r="B53" i="29"/>
  <c r="A53" i="29"/>
  <c r="C52" i="29"/>
  <c r="B52" i="29"/>
  <c r="A52" i="29"/>
  <c r="C51" i="29"/>
  <c r="B51" i="29"/>
  <c r="A51" i="29"/>
  <c r="C50" i="29"/>
  <c r="B50" i="29"/>
  <c r="A50" i="29"/>
  <c r="C49" i="29"/>
  <c r="B49" i="29"/>
  <c r="A49" i="29"/>
  <c r="H32" i="5"/>
  <c r="H31" i="5"/>
  <c r="H30" i="5"/>
  <c r="H29" i="5"/>
  <c r="H28" i="5"/>
  <c r="H27" i="5"/>
  <c r="H25" i="5"/>
  <c r="H26" i="5"/>
  <c r="H24" i="5"/>
  <c r="H23" i="5"/>
  <c r="H22" i="5"/>
  <c r="H21" i="5"/>
  <c r="H20" i="5"/>
  <c r="H19" i="5"/>
  <c r="H18" i="5"/>
  <c r="H17" i="5"/>
  <c r="D30" i="8"/>
  <c r="D29" i="8"/>
  <c r="D28" i="8"/>
  <c r="D27" i="8"/>
  <c r="D26" i="8"/>
  <c r="D25" i="8"/>
  <c r="D24" i="8"/>
  <c r="D23" i="8"/>
  <c r="D22" i="8"/>
  <c r="D21" i="8"/>
  <c r="D20" i="8"/>
  <c r="D19" i="8"/>
  <c r="D18" i="8"/>
  <c r="D17" i="8"/>
  <c r="D16" i="8"/>
  <c r="D15" i="8"/>
  <c r="G64" i="10"/>
  <c r="K17" i="17"/>
  <c r="K16" i="17"/>
  <c r="F58" i="29"/>
  <c r="B73" i="29"/>
  <c r="I36" i="27"/>
  <c r="G36" i="27"/>
  <c r="E36" i="27"/>
  <c r="I35" i="27"/>
  <c r="G35" i="27"/>
  <c r="E35" i="27"/>
  <c r="K31" i="27"/>
  <c r="D31" i="27"/>
  <c r="J31" i="27" s="1"/>
  <c r="K30" i="27"/>
  <c r="D30" i="27"/>
  <c r="H30" i="27" s="1"/>
  <c r="K29" i="27"/>
  <c r="D29" i="27"/>
  <c r="F29" i="27" s="1"/>
  <c r="K28" i="27"/>
  <c r="D28" i="27"/>
  <c r="F28" i="27" s="1"/>
  <c r="K27" i="27"/>
  <c r="D27" i="27"/>
  <c r="J27" i="27" s="1"/>
  <c r="K26" i="27"/>
  <c r="D26" i="27"/>
  <c r="F26" i="27" s="1"/>
  <c r="K25" i="27"/>
  <c r="D25" i="27"/>
  <c r="H25" i="27" s="1"/>
  <c r="K24" i="27"/>
  <c r="D24" i="27"/>
  <c r="J24" i="27" s="1"/>
  <c r="K23" i="27"/>
  <c r="D23" i="27"/>
  <c r="H23" i="27" s="1"/>
  <c r="K22" i="27"/>
  <c r="D22" i="27"/>
  <c r="F22" i="27" s="1"/>
  <c r="K21" i="27"/>
  <c r="D21" i="27"/>
  <c r="H21" i="27" s="1"/>
  <c r="K20" i="27"/>
  <c r="D20" i="27"/>
  <c r="J20" i="27" s="1"/>
  <c r="K19" i="27"/>
  <c r="D19" i="27"/>
  <c r="H19" i="27" s="1"/>
  <c r="K18" i="27"/>
  <c r="D18" i="27"/>
  <c r="F18" i="27" s="1"/>
  <c r="K17" i="27"/>
  <c r="D17" i="27"/>
  <c r="H17" i="27" s="1"/>
  <c r="K16" i="27"/>
  <c r="D16" i="27"/>
  <c r="J16" i="27" s="1"/>
  <c r="K31" i="17"/>
  <c r="K30" i="17"/>
  <c r="K29" i="17"/>
  <c r="K28" i="17"/>
  <c r="K27" i="17"/>
  <c r="K26" i="17"/>
  <c r="K25" i="17"/>
  <c r="K24" i="17"/>
  <c r="K23" i="17"/>
  <c r="K22" i="17"/>
  <c r="K21" i="17"/>
  <c r="K20" i="17"/>
  <c r="K19" i="17"/>
  <c r="K18" i="17"/>
  <c r="J36" i="8"/>
  <c r="I36" i="8"/>
  <c r="A24" i="24" l="1"/>
  <c r="A15" i="24"/>
  <c r="G33" i="20"/>
  <c r="G31" i="20"/>
  <c r="G27" i="20"/>
  <c r="G23" i="20"/>
  <c r="G29" i="20"/>
  <c r="G25" i="20"/>
  <c r="G32" i="20"/>
  <c r="G36" i="20"/>
  <c r="G24" i="20"/>
  <c r="G34" i="20"/>
  <c r="G30" i="20"/>
  <c r="G26" i="20"/>
  <c r="G22" i="20"/>
  <c r="G35" i="20"/>
  <c r="G28" i="20"/>
  <c r="J17" i="27"/>
  <c r="F21" i="27"/>
  <c r="J21" i="27"/>
  <c r="F17" i="27"/>
  <c r="D48" i="10"/>
  <c r="J28" i="27"/>
  <c r="H20" i="27"/>
  <c r="J23" i="27"/>
  <c r="H27" i="27"/>
  <c r="H28" i="27"/>
  <c r="F30" i="27"/>
  <c r="H31" i="27"/>
  <c r="F19" i="27"/>
  <c r="F25" i="27"/>
  <c r="J19" i="27"/>
  <c r="F23" i="27"/>
  <c r="H24" i="27"/>
  <c r="J25" i="27"/>
  <c r="J30" i="27"/>
  <c r="K36" i="27"/>
  <c r="D16" i="24" s="1"/>
  <c r="H18" i="27"/>
  <c r="H22" i="27"/>
  <c r="H26" i="27"/>
  <c r="H29" i="27"/>
  <c r="K35" i="27"/>
  <c r="D15" i="24" s="1"/>
  <c r="F16" i="27"/>
  <c r="J18" i="27"/>
  <c r="F20" i="27"/>
  <c r="J22" i="27"/>
  <c r="F24" i="27"/>
  <c r="J26" i="27"/>
  <c r="F27" i="27"/>
  <c r="J29" i="27"/>
  <c r="F31" i="27"/>
  <c r="H16" i="27"/>
  <c r="K35" i="17"/>
  <c r="C15" i="24" s="1"/>
  <c r="K36" i="17"/>
  <c r="C16" i="24" s="1"/>
  <c r="J36" i="27" l="1"/>
  <c r="J35" i="27"/>
  <c r="F36" i="27"/>
  <c r="F35" i="27"/>
  <c r="H36" i="27"/>
  <c r="H35" i="27"/>
  <c r="I36" i="17" l="1"/>
  <c r="I35" i="17"/>
  <c r="I25" i="12" l="1"/>
  <c r="C26" i="5"/>
  <c r="I26" i="5" s="1"/>
  <c r="L26" i="5" s="1"/>
  <c r="M26" i="5" s="1"/>
  <c r="J28" i="13"/>
  <c r="H28" i="13"/>
  <c r="I28" i="13" s="1"/>
  <c r="D25" i="17"/>
  <c r="D31" i="29"/>
  <c r="F31" i="29" s="1"/>
  <c r="E56" i="3"/>
  <c r="F29" i="11"/>
  <c r="H29" i="11" s="1"/>
  <c r="D25" i="12"/>
  <c r="F25" i="12" s="1"/>
  <c r="G25" i="12" s="1"/>
  <c r="A56" i="3"/>
  <c r="H24" i="24"/>
  <c r="D58" i="10"/>
  <c r="E26" i="5" l="1"/>
  <c r="F26" i="5" s="1"/>
  <c r="H25" i="17"/>
  <c r="J25" i="17"/>
  <c r="J25" i="12"/>
  <c r="L25" i="12" s="1"/>
  <c r="M25" i="12" s="1"/>
  <c r="H56" i="3"/>
  <c r="J56" i="3" s="1"/>
  <c r="F25" i="17"/>
  <c r="J29" i="11"/>
  <c r="I29" i="11"/>
  <c r="F26" i="19" l="1"/>
  <c r="I56" i="3"/>
  <c r="K29" i="11"/>
  <c r="L29" i="11" s="1"/>
  <c r="G31" i="10"/>
  <c r="D25" i="10"/>
  <c r="J26" i="19" l="1"/>
  <c r="D30" i="20"/>
  <c r="H30" i="20" s="1"/>
  <c r="I26" i="19"/>
  <c r="G21" i="20"/>
  <c r="H36" i="19"/>
  <c r="G36" i="19"/>
  <c r="H35" i="19"/>
  <c r="G35" i="19"/>
  <c r="D17" i="19"/>
  <c r="G36" i="17"/>
  <c r="G35" i="17"/>
  <c r="D31" i="17"/>
  <c r="J31" i="17" s="1"/>
  <c r="D30" i="17"/>
  <c r="J30" i="17" s="1"/>
  <c r="D29" i="17"/>
  <c r="J29" i="17" s="1"/>
  <c r="D28" i="17"/>
  <c r="J28" i="17" s="1"/>
  <c r="D27" i="17"/>
  <c r="J27" i="17" s="1"/>
  <c r="D26" i="17"/>
  <c r="J26" i="17" s="1"/>
  <c r="D24" i="17"/>
  <c r="J24" i="17" s="1"/>
  <c r="D23" i="17"/>
  <c r="J23" i="17" s="1"/>
  <c r="D22" i="17"/>
  <c r="J22" i="17" s="1"/>
  <c r="D21" i="17"/>
  <c r="J21" i="17" s="1"/>
  <c r="D20" i="17"/>
  <c r="J20" i="17" s="1"/>
  <c r="D19" i="17"/>
  <c r="J19" i="17" s="1"/>
  <c r="D18" i="17"/>
  <c r="J18" i="17" s="1"/>
  <c r="D17" i="17"/>
  <c r="J17" i="17" s="1"/>
  <c r="D16" i="17"/>
  <c r="J16" i="17" s="1"/>
  <c r="E36" i="17"/>
  <c r="E35" i="17"/>
  <c r="I37" i="14"/>
  <c r="I36" i="14"/>
  <c r="I35" i="8"/>
  <c r="I34" i="8"/>
  <c r="F35" i="11"/>
  <c r="H35" i="11" s="1"/>
  <c r="F34" i="11"/>
  <c r="H34" i="11" s="1"/>
  <c r="F33" i="11"/>
  <c r="H33" i="11" s="1"/>
  <c r="F32" i="11"/>
  <c r="H32" i="11" s="1"/>
  <c r="F31" i="11"/>
  <c r="H31" i="11" s="1"/>
  <c r="F30" i="11"/>
  <c r="H30" i="11" s="1"/>
  <c r="F28" i="11"/>
  <c r="H28" i="11" s="1"/>
  <c r="F27" i="11"/>
  <c r="H27" i="11" s="1"/>
  <c r="F26" i="11"/>
  <c r="H26" i="11" s="1"/>
  <c r="F25" i="11"/>
  <c r="H25" i="11" s="1"/>
  <c r="F24" i="11"/>
  <c r="H24" i="11" s="1"/>
  <c r="F23" i="11"/>
  <c r="H23" i="11" s="1"/>
  <c r="F22" i="11"/>
  <c r="H22" i="11" s="1"/>
  <c r="F21" i="11"/>
  <c r="H21" i="11" s="1"/>
  <c r="F20" i="11"/>
  <c r="H20" i="11" s="1"/>
  <c r="I20" i="11" s="1"/>
  <c r="E30" i="8"/>
  <c r="E29" i="8"/>
  <c r="E28" i="8"/>
  <c r="E27" i="8"/>
  <c r="E26" i="8"/>
  <c r="E25" i="8"/>
  <c r="E23" i="8"/>
  <c r="E22" i="8"/>
  <c r="E21" i="8"/>
  <c r="E20" i="8"/>
  <c r="E19" i="8"/>
  <c r="E18" i="8"/>
  <c r="E17" i="8"/>
  <c r="E16" i="8"/>
  <c r="E15" i="8"/>
  <c r="C32" i="5"/>
  <c r="I32" i="5" s="1"/>
  <c r="L32" i="5" s="1"/>
  <c r="C31" i="5"/>
  <c r="I31" i="5" s="1"/>
  <c r="L31" i="5" s="1"/>
  <c r="C30" i="5"/>
  <c r="C29" i="5"/>
  <c r="I29" i="5" s="1"/>
  <c r="L29" i="5" s="1"/>
  <c r="C28" i="5"/>
  <c r="I28" i="5" s="1"/>
  <c r="L28" i="5" s="1"/>
  <c r="C27" i="5"/>
  <c r="I27" i="5" s="1"/>
  <c r="L27" i="5" s="1"/>
  <c r="C25" i="5"/>
  <c r="I25" i="5" s="1"/>
  <c r="L25" i="5" s="1"/>
  <c r="C24" i="5"/>
  <c r="I24" i="5" s="1"/>
  <c r="L24" i="5" s="1"/>
  <c r="C23" i="5"/>
  <c r="I23" i="5" s="1"/>
  <c r="L23" i="5" s="1"/>
  <c r="C22" i="5"/>
  <c r="I22" i="5" s="1"/>
  <c r="L22" i="5" s="1"/>
  <c r="C21" i="5"/>
  <c r="I21" i="5" s="1"/>
  <c r="L21" i="5" s="1"/>
  <c r="C20" i="5"/>
  <c r="I20" i="5" s="1"/>
  <c r="L20" i="5" s="1"/>
  <c r="C19" i="5"/>
  <c r="I19" i="5" s="1"/>
  <c r="L19" i="5" s="1"/>
  <c r="C18" i="5"/>
  <c r="I18" i="5" s="1"/>
  <c r="L18" i="5" s="1"/>
  <c r="C17" i="5"/>
  <c r="I17" i="5" s="1"/>
  <c r="L17" i="5" s="1"/>
  <c r="I30" i="5"/>
  <c r="L30" i="5" s="1"/>
  <c r="J42" i="12"/>
  <c r="D23" i="10" s="1"/>
  <c r="I42" i="12"/>
  <c r="H41" i="5"/>
  <c r="D56" i="10" s="1"/>
  <c r="G41" i="5"/>
  <c r="H37" i="14"/>
  <c r="H36" i="14"/>
  <c r="J34" i="13"/>
  <c r="J33" i="13"/>
  <c r="J32" i="13"/>
  <c r="J31" i="13"/>
  <c r="J30" i="13"/>
  <c r="J29" i="13"/>
  <c r="J27" i="13"/>
  <c r="J26" i="13"/>
  <c r="J25" i="13"/>
  <c r="J24" i="13"/>
  <c r="J23" i="13"/>
  <c r="J22" i="13"/>
  <c r="J21" i="13"/>
  <c r="J20" i="13"/>
  <c r="J19" i="13"/>
  <c r="H34" i="13"/>
  <c r="I34" i="13" s="1"/>
  <c r="H33" i="13"/>
  <c r="I33" i="13" s="1"/>
  <c r="H32" i="13"/>
  <c r="I32" i="13" s="1"/>
  <c r="H31" i="13"/>
  <c r="I31" i="13" s="1"/>
  <c r="H30" i="13"/>
  <c r="I30" i="13" s="1"/>
  <c r="H29" i="13"/>
  <c r="I29" i="13" s="1"/>
  <c r="H27" i="13"/>
  <c r="I27" i="13" s="1"/>
  <c r="H26" i="13"/>
  <c r="I26" i="13" s="1"/>
  <c r="H25" i="13"/>
  <c r="I25" i="13" s="1"/>
  <c r="H24" i="13"/>
  <c r="I24" i="13" s="1"/>
  <c r="H23" i="13"/>
  <c r="I23" i="13" s="1"/>
  <c r="H22" i="13"/>
  <c r="I22" i="13" s="1"/>
  <c r="H21" i="13"/>
  <c r="I21" i="13" s="1"/>
  <c r="H20" i="13"/>
  <c r="I20" i="13" s="1"/>
  <c r="H19" i="13"/>
  <c r="I19" i="13" s="1"/>
  <c r="K36" i="12"/>
  <c r="E36" i="12"/>
  <c r="K35" i="12"/>
  <c r="E35" i="12"/>
  <c r="D31" i="12"/>
  <c r="J31" i="12" s="1"/>
  <c r="D30" i="12"/>
  <c r="J30" i="12" s="1"/>
  <c r="D29" i="12"/>
  <c r="J29" i="12" s="1"/>
  <c r="D28" i="12"/>
  <c r="D27" i="12"/>
  <c r="F27" i="12" s="1"/>
  <c r="G27" i="12" s="1"/>
  <c r="D26" i="12"/>
  <c r="J26" i="12" s="1"/>
  <c r="D24" i="12"/>
  <c r="D23" i="12"/>
  <c r="F23" i="12" s="1"/>
  <c r="G23" i="12" s="1"/>
  <c r="D22" i="12"/>
  <c r="F22" i="12" s="1"/>
  <c r="G22" i="12" s="1"/>
  <c r="D21" i="12"/>
  <c r="J21" i="12" s="1"/>
  <c r="D20" i="12"/>
  <c r="D19" i="12"/>
  <c r="F19" i="12" s="1"/>
  <c r="G19" i="12" s="1"/>
  <c r="D18" i="12"/>
  <c r="F18" i="12" s="1"/>
  <c r="G18" i="12" s="1"/>
  <c r="D17" i="12"/>
  <c r="J17" i="12" s="1"/>
  <c r="D16" i="12"/>
  <c r="J16" i="12" s="1"/>
  <c r="J39" i="13" l="1"/>
  <c r="I39" i="13"/>
  <c r="J36" i="17"/>
  <c r="J35" i="17"/>
  <c r="J38" i="13"/>
  <c r="I38" i="13"/>
  <c r="J18" i="12"/>
  <c r="L21" i="12"/>
  <c r="M21" i="12" s="1"/>
  <c r="L26" i="12"/>
  <c r="M26" i="12" s="1"/>
  <c r="L29" i="12"/>
  <c r="M29" i="12" s="1"/>
  <c r="L30" i="12"/>
  <c r="M30" i="12" s="1"/>
  <c r="L16" i="12"/>
  <c r="H17" i="17"/>
  <c r="F17" i="17"/>
  <c r="H26" i="17"/>
  <c r="F26" i="17"/>
  <c r="H29" i="17"/>
  <c r="F29" i="17"/>
  <c r="H19" i="17"/>
  <c r="F19" i="17"/>
  <c r="H23" i="17"/>
  <c r="F23" i="17"/>
  <c r="H27" i="17"/>
  <c r="F27" i="17"/>
  <c r="H31" i="17"/>
  <c r="F31" i="17"/>
  <c r="J22" i="12"/>
  <c r="H21" i="17"/>
  <c r="F21" i="17"/>
  <c r="H18" i="17"/>
  <c r="F18" i="17"/>
  <c r="H22" i="17"/>
  <c r="F22" i="17"/>
  <c r="H30" i="17"/>
  <c r="F30" i="17"/>
  <c r="L31" i="12"/>
  <c r="M31" i="12" s="1"/>
  <c r="H16" i="17"/>
  <c r="F16" i="17"/>
  <c r="H20" i="17"/>
  <c r="F20" i="17"/>
  <c r="H24" i="17"/>
  <c r="F24" i="17"/>
  <c r="H28" i="17"/>
  <c r="F28" i="17"/>
  <c r="J19" i="12"/>
  <c r="J23" i="12"/>
  <c r="J27" i="12"/>
  <c r="L17" i="12"/>
  <c r="M17" i="12" s="1"/>
  <c r="J20" i="12"/>
  <c r="J24" i="12"/>
  <c r="J28" i="12"/>
  <c r="F16" i="12"/>
  <c r="G16" i="12" s="1"/>
  <c r="F24" i="12"/>
  <c r="G24" i="12" s="1"/>
  <c r="F20" i="12"/>
  <c r="G20" i="12" s="1"/>
  <c r="F28" i="12"/>
  <c r="G28" i="12" s="1"/>
  <c r="F31" i="12"/>
  <c r="G31" i="12" s="1"/>
  <c r="F21" i="12"/>
  <c r="G21" i="12" s="1"/>
  <c r="F30" i="12"/>
  <c r="G30" i="12" s="1"/>
  <c r="F17" i="12"/>
  <c r="G17" i="12" s="1"/>
  <c r="F26" i="12"/>
  <c r="G26" i="12" s="1"/>
  <c r="F29" i="12"/>
  <c r="G29" i="12" s="1"/>
  <c r="F27" i="19" l="1"/>
  <c r="F19" i="19"/>
  <c r="I19" i="19" s="1"/>
  <c r="F20" i="19"/>
  <c r="D24" i="20" s="1"/>
  <c r="H24" i="20"/>
  <c r="F21" i="19"/>
  <c r="F22" i="19"/>
  <c r="F23" i="19"/>
  <c r="D27" i="20" s="1"/>
  <c r="H27" i="20" s="1"/>
  <c r="F24" i="19"/>
  <c r="F25" i="19"/>
  <c r="F28" i="19"/>
  <c r="F29" i="19"/>
  <c r="F31" i="19"/>
  <c r="F32" i="19"/>
  <c r="D36" i="20" s="1"/>
  <c r="H36" i="20" s="1"/>
  <c r="F30" i="19"/>
  <c r="D34" i="20" s="1"/>
  <c r="H34" i="20" s="1"/>
  <c r="F18" i="19"/>
  <c r="L18" i="12"/>
  <c r="M18" i="12" s="1"/>
  <c r="L28" i="12"/>
  <c r="M28" i="12" s="1"/>
  <c r="L27" i="12"/>
  <c r="M27" i="12" s="1"/>
  <c r="L24" i="12"/>
  <c r="M24" i="12" s="1"/>
  <c r="L23" i="12"/>
  <c r="M23" i="12" s="1"/>
  <c r="F35" i="17"/>
  <c r="F36" i="17"/>
  <c r="L22" i="12"/>
  <c r="M22" i="12" s="1"/>
  <c r="J20" i="19"/>
  <c r="I20" i="19"/>
  <c r="L20" i="12"/>
  <c r="M20" i="12" s="1"/>
  <c r="L19" i="12"/>
  <c r="M19" i="12" s="1"/>
  <c r="F17" i="19"/>
  <c r="D21" i="20" s="1"/>
  <c r="H21" i="20" s="1"/>
  <c r="H35" i="17"/>
  <c r="H36" i="17"/>
  <c r="J31" i="19"/>
  <c r="J23" i="19"/>
  <c r="I24" i="19"/>
  <c r="G35" i="12"/>
  <c r="F36" i="12"/>
  <c r="F35" i="12"/>
  <c r="M16" i="12"/>
  <c r="G36" i="12"/>
  <c r="I32" i="19" l="1"/>
  <c r="J32" i="19"/>
  <c r="I31" i="19"/>
  <c r="D35" i="20"/>
  <c r="H35" i="20" s="1"/>
  <c r="J28" i="19"/>
  <c r="D32" i="20"/>
  <c r="H32" i="20" s="1"/>
  <c r="J24" i="19"/>
  <c r="D28" i="20"/>
  <c r="H28" i="20" s="1"/>
  <c r="J22" i="19"/>
  <c r="D26" i="20"/>
  <c r="H26" i="20" s="1"/>
  <c r="J27" i="19"/>
  <c r="D31" i="20"/>
  <c r="H31" i="20" s="1"/>
  <c r="J18" i="19"/>
  <c r="D22" i="20"/>
  <c r="H22" i="20" s="1"/>
  <c r="I29" i="19"/>
  <c r="D33" i="20"/>
  <c r="H33" i="20" s="1"/>
  <c r="J25" i="19"/>
  <c r="D29" i="20"/>
  <c r="H29" i="20" s="1"/>
  <c r="J21" i="19"/>
  <c r="D25" i="20"/>
  <c r="H25" i="20" s="1"/>
  <c r="H40" i="20" s="1"/>
  <c r="J19" i="19"/>
  <c r="D23" i="20"/>
  <c r="H23" i="20" s="1"/>
  <c r="I23" i="19"/>
  <c r="J29" i="19"/>
  <c r="I21" i="19"/>
  <c r="I25" i="19"/>
  <c r="I27" i="19"/>
  <c r="I22" i="19"/>
  <c r="I28" i="19"/>
  <c r="I18" i="19"/>
  <c r="J30" i="19"/>
  <c r="I30" i="19"/>
  <c r="L36" i="12"/>
  <c r="L35" i="12"/>
  <c r="J17" i="19"/>
  <c r="F36" i="19"/>
  <c r="F35" i="19"/>
  <c r="I17" i="19"/>
  <c r="M36" i="12"/>
  <c r="M35" i="12"/>
  <c r="H39" i="20" l="1"/>
  <c r="J36" i="19"/>
  <c r="J35" i="19"/>
  <c r="I36" i="19"/>
  <c r="I35" i="19"/>
  <c r="J37" i="5"/>
  <c r="J36" i="5"/>
  <c r="J35" i="11"/>
  <c r="J34" i="11"/>
  <c r="J33" i="11"/>
  <c r="J32" i="11"/>
  <c r="J31" i="11"/>
  <c r="J30" i="11"/>
  <c r="J28" i="11"/>
  <c r="J27" i="11"/>
  <c r="J26" i="11"/>
  <c r="J25" i="11"/>
  <c r="J24" i="11"/>
  <c r="J23" i="11"/>
  <c r="J22" i="11"/>
  <c r="J21" i="11"/>
  <c r="J20" i="11"/>
  <c r="K20" i="11" s="1"/>
  <c r="I35" i="11"/>
  <c r="I34" i="11"/>
  <c r="I33" i="11"/>
  <c r="I32" i="11"/>
  <c r="I31" i="11"/>
  <c r="I30" i="11"/>
  <c r="I28" i="11"/>
  <c r="I27" i="11"/>
  <c r="I26" i="11"/>
  <c r="I25" i="11"/>
  <c r="I24" i="11"/>
  <c r="I23" i="11"/>
  <c r="I22" i="11"/>
  <c r="I21" i="11"/>
  <c r="F56" i="10"/>
  <c r="C58" i="10"/>
  <c r="C56" i="10"/>
  <c r="F58" i="10"/>
  <c r="F25" i="10"/>
  <c r="C25" i="10"/>
  <c r="F23" i="10"/>
  <c r="C23" i="10"/>
  <c r="E61" i="3"/>
  <c r="K31" i="11" l="1"/>
  <c r="L31" i="11" s="1"/>
  <c r="K22" i="11"/>
  <c r="L22" i="11" s="1"/>
  <c r="K21" i="11"/>
  <c r="L21" i="11" s="1"/>
  <c r="K34" i="11"/>
  <c r="L34" i="11" s="1"/>
  <c r="L20" i="11"/>
  <c r="K28" i="11"/>
  <c r="L28" i="11" s="1"/>
  <c r="K27" i="11"/>
  <c r="L27" i="11" s="1"/>
  <c r="K26" i="11"/>
  <c r="L26" i="11" s="1"/>
  <c r="K25" i="11"/>
  <c r="L25" i="11" s="1"/>
  <c r="K24" i="11"/>
  <c r="L24" i="11" s="1"/>
  <c r="K23" i="11"/>
  <c r="L23" i="11" s="1"/>
  <c r="K35" i="11"/>
  <c r="L35" i="11" s="1"/>
  <c r="K33" i="11"/>
  <c r="L33" i="11" s="1"/>
  <c r="K32" i="11"/>
  <c r="L32" i="11" s="1"/>
  <c r="K30" i="11"/>
  <c r="L30" i="11" s="1"/>
  <c r="G25" i="10"/>
  <c r="C27" i="10"/>
  <c r="C60" i="10"/>
  <c r="G23" i="10"/>
  <c r="G56" i="10"/>
  <c r="G58" i="10"/>
  <c r="E63" i="29"/>
  <c r="E62" i="29"/>
  <c r="E61" i="29"/>
  <c r="E59" i="29"/>
  <c r="D55" i="3"/>
  <c r="E25" i="19" s="1"/>
  <c r="E56" i="29"/>
  <c r="I29" i="3"/>
  <c r="E55" i="29"/>
  <c r="E54" i="29"/>
  <c r="E53" i="29"/>
  <c r="E52" i="29"/>
  <c r="E51" i="29"/>
  <c r="E50" i="29"/>
  <c r="D60" i="29" l="1"/>
  <c r="F60" i="29" s="1"/>
  <c r="D64" i="29"/>
  <c r="E64" i="29"/>
  <c r="E57" i="29"/>
  <c r="F57" i="29" s="1"/>
  <c r="D56" i="29"/>
  <c r="D51" i="29"/>
  <c r="D54" i="29"/>
  <c r="D49" i="29"/>
  <c r="D52" i="29"/>
  <c r="D59" i="29"/>
  <c r="D62" i="29"/>
  <c r="D50" i="29"/>
  <c r="D53" i="29"/>
  <c r="D55" i="29"/>
  <c r="L39" i="11"/>
  <c r="L40" i="11"/>
  <c r="G27" i="10"/>
  <c r="G60" i="10"/>
  <c r="M18" i="5"/>
  <c r="M19" i="5"/>
  <c r="M20" i="5"/>
  <c r="M21" i="5"/>
  <c r="M22" i="5"/>
  <c r="M23" i="5"/>
  <c r="M24" i="5"/>
  <c r="M25" i="5"/>
  <c r="M27" i="5"/>
  <c r="M28" i="5"/>
  <c r="M29" i="5"/>
  <c r="M30" i="5"/>
  <c r="M31" i="5"/>
  <c r="M32" i="5"/>
  <c r="D61" i="29" l="1"/>
  <c r="F61" i="29" s="1"/>
  <c r="F64" i="29"/>
  <c r="D63" i="29"/>
  <c r="F63" i="29" s="1"/>
  <c r="F53" i="29"/>
  <c r="F62" i="29"/>
  <c r="F52" i="29"/>
  <c r="F54" i="29"/>
  <c r="F56" i="29"/>
  <c r="F55" i="29"/>
  <c r="F50" i="29"/>
  <c r="F59" i="29"/>
  <c r="F49" i="29"/>
  <c r="F51" i="29"/>
  <c r="M17" i="5"/>
  <c r="L36" i="5"/>
  <c r="L37" i="5"/>
  <c r="H36" i="3"/>
  <c r="D61" i="3" s="1"/>
  <c r="E31" i="19" s="1"/>
  <c r="F65" i="29" l="1"/>
  <c r="D73" i="29" s="1"/>
  <c r="M37" i="5"/>
  <c r="M36" i="5"/>
  <c r="E51" i="3"/>
  <c r="F34" i="3" l="1"/>
  <c r="E17" i="5" l="1"/>
  <c r="E49" i="3" l="1"/>
  <c r="A62" i="3" l="1"/>
  <c r="A61" i="3"/>
  <c r="A60" i="3"/>
  <c r="A59" i="3"/>
  <c r="A58" i="3"/>
  <c r="A57" i="3"/>
  <c r="A55" i="3"/>
  <c r="A54" i="3"/>
  <c r="A53" i="3"/>
  <c r="A52" i="3"/>
  <c r="A51" i="3"/>
  <c r="A50" i="3"/>
  <c r="A49" i="3"/>
  <c r="A48" i="3"/>
  <c r="D37" i="29"/>
  <c r="F37" i="29" s="1"/>
  <c r="D36" i="29"/>
  <c r="F36" i="29" s="1"/>
  <c r="D35" i="29"/>
  <c r="F35" i="29" s="1"/>
  <c r="D34" i="29"/>
  <c r="F34" i="29" s="1"/>
  <c r="D33" i="29"/>
  <c r="F33" i="29" s="1"/>
  <c r="D32" i="29"/>
  <c r="F32" i="29" s="1"/>
  <c r="D30" i="29"/>
  <c r="F30" i="29" s="1"/>
  <c r="D29" i="29"/>
  <c r="F29" i="29" s="1"/>
  <c r="D53" i="3"/>
  <c r="D52" i="3"/>
  <c r="D51" i="3"/>
  <c r="D50" i="3"/>
  <c r="D49" i="3"/>
  <c r="D48" i="3"/>
  <c r="D28" i="29" l="1"/>
  <c r="F28" i="29" s="1"/>
  <c r="E23" i="19"/>
  <c r="D27" i="29"/>
  <c r="F27" i="29" s="1"/>
  <c r="E22" i="19"/>
  <c r="D24" i="29"/>
  <c r="F24" i="29" s="1"/>
  <c r="E19" i="19"/>
  <c r="D25" i="29"/>
  <c r="F25" i="29" s="1"/>
  <c r="E20" i="19"/>
  <c r="D26" i="29"/>
  <c r="F26" i="29" s="1"/>
  <c r="E21" i="19"/>
  <c r="D23" i="29"/>
  <c r="F23" i="29" s="1"/>
  <c r="E18" i="19"/>
  <c r="H49" i="3"/>
  <c r="J49" i="3" s="1"/>
  <c r="F36" i="3"/>
  <c r="H62" i="3" l="1"/>
  <c r="J62" i="3" l="1"/>
  <c r="I62" i="3"/>
  <c r="F22" i="3" l="1"/>
  <c r="F23" i="3"/>
  <c r="F24" i="3"/>
  <c r="F25" i="3"/>
  <c r="F26" i="3"/>
  <c r="F27" i="3"/>
  <c r="F28" i="3"/>
  <c r="F29" i="3"/>
  <c r="F30" i="3"/>
  <c r="F32" i="3"/>
  <c r="F33" i="3"/>
  <c r="F35" i="3"/>
  <c r="F37" i="3"/>
  <c r="C23" i="7" l="1"/>
  <c r="C72" i="29" s="1"/>
  <c r="C25" i="7"/>
  <c r="C73" i="29" s="1"/>
  <c r="E73" i="29" s="1"/>
  <c r="D25" i="7" l="1"/>
  <c r="J34" i="8" l="1"/>
  <c r="J35" i="8" l="1"/>
  <c r="H61" i="3" l="1"/>
  <c r="E60" i="3"/>
  <c r="H60" i="3" s="1"/>
  <c r="E59" i="3"/>
  <c r="H59" i="3" s="1"/>
  <c r="E58" i="3"/>
  <c r="H58" i="3" s="1"/>
  <c r="E57" i="3"/>
  <c r="H57" i="3" s="1"/>
  <c r="E55" i="3"/>
  <c r="H55" i="3" s="1"/>
  <c r="J55" i="3" s="1"/>
  <c r="E54" i="3"/>
  <c r="E53" i="3"/>
  <c r="H53" i="3" s="1"/>
  <c r="J53" i="3" s="1"/>
  <c r="E52" i="3"/>
  <c r="H52" i="3" s="1"/>
  <c r="H51" i="3"/>
  <c r="E50" i="3"/>
  <c r="D47" i="3"/>
  <c r="D22" i="29" s="1"/>
  <c r="F22" i="29" s="1"/>
  <c r="F38" i="29" s="1"/>
  <c r="D72" i="29" s="1"/>
  <c r="E72" i="29" s="1"/>
  <c r="E74" i="29" s="1"/>
  <c r="E17" i="19" l="1"/>
  <c r="J58" i="3"/>
  <c r="I58" i="3"/>
  <c r="J60" i="3"/>
  <c r="I60" i="3"/>
  <c r="J57" i="3"/>
  <c r="I57" i="3"/>
  <c r="J59" i="3"/>
  <c r="I59" i="3"/>
  <c r="J61" i="3"/>
  <c r="I61" i="3"/>
  <c r="J52" i="3"/>
  <c r="I52" i="3"/>
  <c r="J51" i="3"/>
  <c r="I51" i="3"/>
  <c r="H54" i="3"/>
  <c r="J54" i="3" s="1"/>
  <c r="H50" i="3"/>
  <c r="J50" i="3" s="1"/>
  <c r="I53" i="3"/>
  <c r="I55" i="3"/>
  <c r="E27" i="5"/>
  <c r="F27" i="5" s="1"/>
  <c r="I54" i="3" l="1"/>
  <c r="I50" i="3"/>
  <c r="E31" i="5"/>
  <c r="F31" i="5" s="1"/>
  <c r="E30" i="5"/>
  <c r="F30" i="5" s="1"/>
  <c r="E25" i="5"/>
  <c r="F25" i="5" s="1"/>
  <c r="E24" i="5"/>
  <c r="F24" i="5" s="1"/>
  <c r="D37" i="5" l="1"/>
  <c r="D36" i="5"/>
  <c r="E48" i="3" l="1"/>
  <c r="H48" i="3" s="1"/>
  <c r="E47" i="3"/>
  <c r="J48" i="3" l="1"/>
  <c r="I48" i="3"/>
  <c r="H47" i="3"/>
  <c r="J47" i="3" s="1"/>
  <c r="I49" i="3"/>
  <c r="I47" i="3" l="1"/>
  <c r="I65" i="3" s="1"/>
  <c r="J66" i="3"/>
  <c r="B53" i="3" l="1"/>
  <c r="B52" i="3"/>
  <c r="B51" i="3"/>
  <c r="B50" i="3"/>
  <c r="B49" i="3"/>
  <c r="B48" i="3"/>
  <c r="C53" i="3"/>
  <c r="C52" i="3"/>
  <c r="C51" i="3"/>
  <c r="C50" i="3"/>
  <c r="C49" i="3"/>
  <c r="C48" i="3"/>
  <c r="C47" i="3"/>
  <c r="B47" i="3" l="1"/>
  <c r="A47" i="3"/>
  <c r="E32" i="5"/>
  <c r="F32" i="5" s="1"/>
  <c r="E29" i="5"/>
  <c r="F29" i="5" s="1"/>
  <c r="E28" i="5"/>
  <c r="F28" i="5" s="1"/>
  <c r="E23" i="5"/>
  <c r="F23" i="5" s="1"/>
  <c r="E22" i="5"/>
  <c r="F22" i="5" s="1"/>
  <c r="E21" i="5"/>
  <c r="F21" i="5" s="1"/>
  <c r="E20" i="5"/>
  <c r="F20" i="5" s="1"/>
  <c r="E19" i="5"/>
  <c r="F19" i="5" s="1"/>
  <c r="E18" i="5"/>
  <c r="F18" i="5" s="1"/>
  <c r="E36" i="5" l="1"/>
  <c r="J65" i="3"/>
  <c r="E37" i="5"/>
  <c r="I66" i="3"/>
  <c r="F17" i="5"/>
  <c r="F36" i="5" s="1"/>
  <c r="F23" i="7" l="1"/>
  <c r="G23" i="7" s="1"/>
  <c r="F37"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REVT221</author>
    <author>K Reaves</author>
    <author>Baker, Mike A (DOR)</author>
    <author>rev3569</author>
    <author>rev3857</author>
  </authors>
  <commentList>
    <comment ref="H22" authorId="0" shapeId="0" xr:uid="{00000000-0006-0000-0200-000001000000}">
      <text>
        <r>
          <rPr>
            <sz val="9"/>
            <color indexed="81"/>
            <rFont val="Tahoma"/>
            <family val="2"/>
          </rPr>
          <t>Page 69 of PDF, 10-K</t>
        </r>
      </text>
    </comment>
    <comment ref="J22" authorId="0" shapeId="0" xr:uid="{00000000-0006-0000-0200-000002000000}">
      <text>
        <r>
          <rPr>
            <sz val="9"/>
            <color indexed="81"/>
            <rFont val="Tahoma"/>
            <family val="2"/>
          </rPr>
          <t>Page 69 of PDF, 10-K</t>
        </r>
      </text>
    </comment>
    <comment ref="H23" authorId="0" shapeId="0" xr:uid="{00000000-0006-0000-0200-000003000000}">
      <text>
        <r>
          <rPr>
            <sz val="9"/>
            <color indexed="81"/>
            <rFont val="Tahoma"/>
            <family val="2"/>
          </rPr>
          <t>Page 48 of PDF, 10-K</t>
        </r>
      </text>
    </comment>
    <comment ref="J23" authorId="0" shapeId="0" xr:uid="{00000000-0006-0000-0200-000005000000}">
      <text>
        <r>
          <rPr>
            <sz val="9"/>
            <color indexed="81"/>
            <rFont val="Tahoma"/>
            <family val="2"/>
          </rPr>
          <t>Page 48 of PDF, 10-K</t>
        </r>
      </text>
    </comment>
    <comment ref="H24" authorId="0" shapeId="0" xr:uid="{00000000-0006-0000-0200-000006000000}">
      <text>
        <r>
          <rPr>
            <sz val="9"/>
            <color indexed="81"/>
            <rFont val="Tahoma"/>
            <family val="2"/>
          </rPr>
          <t>Page 88 / 94 of PDF, 10-K</t>
        </r>
      </text>
    </comment>
    <comment ref="J24" authorId="0" shapeId="0" xr:uid="{00000000-0006-0000-0200-000007000000}">
      <text>
        <r>
          <rPr>
            <sz val="9"/>
            <color indexed="81"/>
            <rFont val="Tahoma"/>
            <family val="2"/>
          </rPr>
          <t>Page 89 / 94 of PDF, 10-K</t>
        </r>
      </text>
    </comment>
    <comment ref="H25" authorId="0" shapeId="0" xr:uid="{00000000-0006-0000-0200-000008000000}">
      <text>
        <r>
          <rPr>
            <sz val="9"/>
            <color indexed="81"/>
            <rFont val="Tahoma"/>
            <family val="2"/>
          </rPr>
          <t>Page 136 / 149 of PDF, 10-K</t>
        </r>
      </text>
    </comment>
    <comment ref="J25" authorId="0" shapeId="0" xr:uid="{00000000-0006-0000-0200-000009000000}">
      <text>
        <r>
          <rPr>
            <sz val="9"/>
            <color indexed="81"/>
            <rFont val="Tahoma"/>
            <family val="2"/>
          </rPr>
          <t>Page 136 / 149 of PDF, 10-K</t>
        </r>
      </text>
    </comment>
    <comment ref="H26" authorId="0" shapeId="0" xr:uid="{00000000-0006-0000-0200-00000A000000}">
      <text>
        <r>
          <rPr>
            <sz val="9"/>
            <color indexed="81"/>
            <rFont val="Tahoma"/>
            <family val="2"/>
          </rPr>
          <t>Page 84 of PDF, 10-K</t>
        </r>
      </text>
    </comment>
    <comment ref="I26" authorId="0" shapeId="0" xr:uid="{00000000-0006-0000-0200-00000B000000}">
      <text>
        <r>
          <rPr>
            <sz val="9"/>
            <color indexed="81"/>
            <rFont val="Tahoma"/>
            <family val="2"/>
          </rPr>
          <t>Page 84 of PDF, 10-K</t>
        </r>
      </text>
    </comment>
    <comment ref="J26" authorId="0" shapeId="0" xr:uid="{00000000-0006-0000-0200-00000C000000}">
      <text>
        <r>
          <rPr>
            <sz val="9"/>
            <color indexed="81"/>
            <rFont val="Tahoma"/>
            <family val="2"/>
          </rPr>
          <t>Page 84 of PDF, 10-K</t>
        </r>
      </text>
    </comment>
    <comment ref="H27" authorId="0" shapeId="0" xr:uid="{00000000-0006-0000-0200-00000D000000}">
      <text>
        <r>
          <rPr>
            <sz val="9"/>
            <color indexed="81"/>
            <rFont val="Tahoma"/>
            <family val="2"/>
          </rPr>
          <t>Page 95 / 98 of PDF, 10-K</t>
        </r>
      </text>
    </comment>
    <comment ref="I27" authorId="1" shapeId="0" xr:uid="{00000000-0006-0000-0200-00000E000000}">
      <text>
        <r>
          <rPr>
            <sz val="9"/>
            <color indexed="81"/>
            <rFont val="Tahoma"/>
            <family val="2"/>
          </rPr>
          <t>Page 97 of PDF, 10-K</t>
        </r>
      </text>
    </comment>
    <comment ref="J27" authorId="0" shapeId="0" xr:uid="{C5137C34-37AB-412F-93AB-F480DBBF5E75}">
      <text>
        <r>
          <rPr>
            <sz val="9"/>
            <color indexed="81"/>
            <rFont val="Tahoma"/>
            <family val="2"/>
          </rPr>
          <t>Page 95 &amp; 121 of PDF, 10-K</t>
        </r>
      </text>
    </comment>
    <comment ref="H28" authorId="0" shapeId="0" xr:uid="{00000000-0006-0000-0200-000010000000}">
      <text>
        <r>
          <rPr>
            <sz val="9"/>
            <color indexed="81"/>
            <rFont val="Tahoma"/>
            <family val="2"/>
          </rPr>
          <t>Page 59 of PDF, 10-K</t>
        </r>
      </text>
    </comment>
    <comment ref="J28" authorId="0" shapeId="0" xr:uid="{00000000-0006-0000-0200-000012000000}">
      <text>
        <r>
          <rPr>
            <sz val="9"/>
            <color indexed="81"/>
            <rFont val="Tahoma"/>
            <family val="2"/>
          </rPr>
          <t>Page 59 of PDF, 10-K</t>
        </r>
      </text>
    </comment>
    <comment ref="H29" authorId="0" shapeId="0" xr:uid="{00000000-0006-0000-0200-000013000000}">
      <text>
        <r>
          <rPr>
            <sz val="9"/>
            <color indexed="81"/>
            <rFont val="Tahoma"/>
            <family val="2"/>
          </rPr>
          <t>Page 75 of PDF, 10-K</t>
        </r>
      </text>
    </comment>
    <comment ref="I29" authorId="2" shapeId="0" xr:uid="{00000000-0006-0000-0200-000014000000}">
      <text>
        <r>
          <rPr>
            <b/>
            <sz val="9"/>
            <color indexed="81"/>
            <rFont val="Tahoma"/>
            <family val="2"/>
          </rPr>
          <t>K Reaves:</t>
        </r>
        <r>
          <rPr>
            <sz val="9"/>
            <color indexed="81"/>
            <rFont val="Tahoma"/>
            <family val="2"/>
          </rPr>
          <t xml:space="preserve">
Page 75 of PDF, 10-K</t>
        </r>
      </text>
    </comment>
    <comment ref="J29" authorId="0" shapeId="0" xr:uid="{00000000-0006-0000-0200-000015000000}">
      <text>
        <r>
          <rPr>
            <sz val="9"/>
            <color indexed="81"/>
            <rFont val="Tahoma"/>
            <family val="2"/>
          </rPr>
          <t>Page 75 of PDF, 10-K</t>
        </r>
      </text>
    </comment>
    <comment ref="H30" authorId="0" shapeId="0" xr:uid="{00000000-0006-0000-0200-000016000000}">
      <text>
        <r>
          <rPr>
            <sz val="9"/>
            <color indexed="81"/>
            <rFont val="Tahoma"/>
            <family val="2"/>
          </rPr>
          <t>Page 51 of PDF, 10-K</t>
        </r>
      </text>
    </comment>
    <comment ref="J30" authorId="0" shapeId="0" xr:uid="{00000000-0006-0000-0200-000018000000}">
      <text>
        <r>
          <rPr>
            <sz val="9"/>
            <color indexed="81"/>
            <rFont val="Tahoma"/>
            <family val="2"/>
          </rPr>
          <t>Page 51 of PDF, 10-K</t>
        </r>
      </text>
    </comment>
    <comment ref="H31" authorId="3" shapeId="0" xr:uid="{905F2E1B-5CF7-497E-9B76-34766AB716A3}">
      <text>
        <r>
          <rPr>
            <b/>
            <sz val="9"/>
            <color indexed="81"/>
            <rFont val="Tahoma"/>
            <family val="2"/>
          </rPr>
          <t>Baker, Mike A (DOR): See 10K page 77</t>
        </r>
        <r>
          <rPr>
            <sz val="9"/>
            <color indexed="81"/>
            <rFont val="Tahoma"/>
            <family val="2"/>
          </rPr>
          <t xml:space="preserve">
</t>
        </r>
      </text>
    </comment>
    <comment ref="J31" authorId="3" shapeId="0" xr:uid="{4305D83A-1D29-4823-8982-3853361AB0DB}">
      <text>
        <r>
          <rPr>
            <b/>
            <sz val="9"/>
            <color indexed="81"/>
            <rFont val="Tahoma"/>
            <family val="2"/>
          </rPr>
          <t>Baker, Mike A (DOR):</t>
        </r>
        <r>
          <rPr>
            <sz val="9"/>
            <color indexed="81"/>
            <rFont val="Tahoma"/>
            <family val="2"/>
          </rPr>
          <t xml:space="preserve">
 See 10K Page77</t>
        </r>
      </text>
    </comment>
    <comment ref="H32" authorId="0" shapeId="0" xr:uid="{00000000-0006-0000-0200-000019000000}">
      <text>
        <r>
          <rPr>
            <sz val="9"/>
            <color indexed="81"/>
            <rFont val="Tahoma"/>
            <family val="2"/>
          </rPr>
          <t>Page 74 / 83 of PDF, 10-K</t>
        </r>
      </text>
    </comment>
    <comment ref="J32" authorId="0" shapeId="0" xr:uid="{00000000-0006-0000-0200-00001A000000}">
      <text>
        <r>
          <rPr>
            <sz val="9"/>
            <color indexed="81"/>
            <rFont val="Tahoma"/>
            <family val="2"/>
          </rPr>
          <t>Page 74 / 83 of PDF, 10-K</t>
        </r>
      </text>
    </comment>
    <comment ref="H33" authorId="0" shapeId="0" xr:uid="{00000000-0006-0000-0200-00001D000000}">
      <text>
        <r>
          <rPr>
            <sz val="9"/>
            <color indexed="81"/>
            <rFont val="Tahoma"/>
            <family val="2"/>
          </rPr>
          <t>Page 68 of PDF, 10-K</t>
        </r>
      </text>
    </comment>
    <comment ref="J33" authorId="0" shapeId="0" xr:uid="{00000000-0006-0000-0200-00001E000000}">
      <text>
        <r>
          <rPr>
            <sz val="9"/>
            <color indexed="81"/>
            <rFont val="Tahoma"/>
            <family val="2"/>
          </rPr>
          <t>Page 46 of PDF, 10-K</t>
        </r>
      </text>
    </comment>
    <comment ref="H34" authorId="0" shapeId="0" xr:uid="{00000000-0006-0000-0200-00001F000000}">
      <text>
        <r>
          <rPr>
            <sz val="9"/>
            <color indexed="81"/>
            <rFont val="Tahoma"/>
            <family val="2"/>
          </rPr>
          <t>Page 41 of PDF, 10-K</t>
        </r>
      </text>
    </comment>
    <comment ref="J34" authorId="0" shapeId="0" xr:uid="{00000000-0006-0000-0200-000020000000}">
      <text>
        <r>
          <rPr>
            <sz val="9"/>
            <color indexed="81"/>
            <rFont val="Tahoma"/>
            <family val="2"/>
          </rPr>
          <t>Page 41 of PDF, 10-K</t>
        </r>
      </text>
    </comment>
    <comment ref="H35" authorId="0" shapeId="0" xr:uid="{00000000-0006-0000-0200-000021000000}">
      <text>
        <r>
          <rPr>
            <sz val="9"/>
            <color indexed="81"/>
            <rFont val="Tahoma"/>
            <family val="2"/>
          </rPr>
          <t>Page 91 of PDF, 10-K</t>
        </r>
      </text>
    </comment>
    <comment ref="J35" authorId="0" shapeId="0" xr:uid="{00000000-0006-0000-0200-000022000000}">
      <text>
        <r>
          <rPr>
            <sz val="9"/>
            <color indexed="81"/>
            <rFont val="Tahoma"/>
            <family val="2"/>
          </rPr>
          <t>Page 78/91 &amp; 185 of PDF, 10-K</t>
        </r>
      </text>
    </comment>
    <comment ref="H36" authorId="0" shapeId="0" xr:uid="{00000000-0006-0000-0200-000023000000}">
      <text>
        <r>
          <rPr>
            <sz val="9"/>
            <color indexed="81"/>
            <rFont val="Tahoma"/>
            <family val="2"/>
          </rPr>
          <t>Page 127 of PDF, 10-K</t>
        </r>
      </text>
    </comment>
    <comment ref="J36" authorId="0" shapeId="0" xr:uid="{00000000-0006-0000-0200-000025000000}">
      <text>
        <r>
          <rPr>
            <sz val="9"/>
            <color indexed="81"/>
            <rFont val="Tahoma"/>
            <family val="2"/>
          </rPr>
          <t>Page 127 of PDF, 10-K</t>
        </r>
      </text>
    </comment>
    <comment ref="H37" authorId="0" shapeId="0" xr:uid="{00000000-0006-0000-0200-000026000000}">
      <text>
        <r>
          <rPr>
            <sz val="9"/>
            <color indexed="81"/>
            <rFont val="Tahoma"/>
            <family val="2"/>
          </rPr>
          <t>Page 93 of PDF, 10-K</t>
        </r>
      </text>
    </comment>
    <comment ref="I37" authorId="0" shapeId="0" xr:uid="{00000000-0006-0000-0200-000027000000}">
      <text>
        <r>
          <rPr>
            <sz val="9"/>
            <color indexed="81"/>
            <rFont val="Tahoma"/>
            <family val="2"/>
          </rPr>
          <t xml:space="preserve">Page 97 of PDF, 10-K  The pref stock value shown 30.4 is similar to Noncontrolling interests
</t>
        </r>
      </text>
    </comment>
    <comment ref="J37" authorId="3" shapeId="0" xr:uid="{70480840-1634-44B4-91A8-5182C669532E}">
      <text>
        <r>
          <rPr>
            <b/>
            <sz val="9"/>
            <color indexed="81"/>
            <rFont val="Tahoma"/>
            <family val="2"/>
          </rPr>
          <t>Baker, Mike A (DOR):</t>
        </r>
        <r>
          <rPr>
            <sz val="9"/>
            <color indexed="81"/>
            <rFont val="Tahoma"/>
            <family val="2"/>
          </rPr>
          <t xml:space="preserve">
See 10K page 132</t>
        </r>
      </text>
    </comment>
    <comment ref="F43" authorId="4" shapeId="0" xr:uid="{CEF678F7-6580-4CF3-AC8E-A803AFF27478}">
      <text>
        <r>
          <rPr>
            <b/>
            <sz val="11"/>
            <color indexed="81"/>
            <rFont val="Tahoma"/>
            <family val="2"/>
          </rPr>
          <t>rev3569:</t>
        </r>
        <r>
          <rPr>
            <sz val="11"/>
            <color indexed="81"/>
            <rFont val="Tahoma"/>
            <family val="2"/>
          </rPr>
          <t xml:space="preserve">
identify present value in 10K</t>
        </r>
      </text>
    </comment>
    <comment ref="F47" authorId="3" shapeId="0" xr:uid="{93AEFF50-0924-4DA6-AD63-457D27DFF07D}">
      <text>
        <r>
          <rPr>
            <b/>
            <sz val="9"/>
            <color indexed="81"/>
            <rFont val="Tahoma"/>
            <family val="2"/>
          </rPr>
          <t>Baker, Mike A (DOR):</t>
        </r>
        <r>
          <rPr>
            <sz val="9"/>
            <color indexed="81"/>
            <rFont val="Tahoma"/>
            <family val="2"/>
          </rPr>
          <t xml:space="preserve">
See 10K page 82</t>
        </r>
      </text>
    </comment>
    <comment ref="G47" authorId="5" shapeId="0" xr:uid="{00000000-0006-0000-0200-000029000000}">
      <text>
        <r>
          <rPr>
            <sz val="9"/>
            <color indexed="81"/>
            <rFont val="Tahoma"/>
            <family val="2"/>
          </rPr>
          <t>Page 97 of PDF, 10-K</t>
        </r>
      </text>
    </comment>
    <comment ref="F48" authorId="3" shapeId="0" xr:uid="{475474B9-E265-4379-B3B6-EA3FE617EBCA}">
      <text>
        <r>
          <rPr>
            <b/>
            <sz val="9"/>
            <color indexed="81"/>
            <rFont val="Tahoma"/>
            <family val="2"/>
          </rPr>
          <t>Baker, Mike A (DOR):</t>
        </r>
        <r>
          <rPr>
            <sz val="9"/>
            <color indexed="81"/>
            <rFont val="Tahoma"/>
            <family val="2"/>
          </rPr>
          <t xml:space="preserve">
See 10K page 78
</t>
        </r>
      </text>
    </comment>
    <comment ref="G48" authorId="1" shapeId="0" xr:uid="{00000000-0006-0000-0200-00002A000000}">
      <text>
        <r>
          <rPr>
            <sz val="9"/>
            <color indexed="81"/>
            <rFont val="Tahoma"/>
            <family val="2"/>
          </rPr>
          <t>Page 91 of PDF, 10-K</t>
        </r>
      </text>
    </comment>
    <comment ref="G49" authorId="1" shapeId="0" xr:uid="{00000000-0006-0000-0200-00002B000000}">
      <text>
        <r>
          <rPr>
            <sz val="9"/>
            <color indexed="81"/>
            <rFont val="Tahoma"/>
            <family val="2"/>
          </rPr>
          <t>Page 135 / 138 of PDF, 10-K</t>
        </r>
      </text>
    </comment>
    <comment ref="F50" authorId="3" shapeId="0" xr:uid="{63373936-8EB4-4F1C-B4F2-DDC0B172CE1C}">
      <text>
        <r>
          <rPr>
            <b/>
            <sz val="9"/>
            <color indexed="81"/>
            <rFont val="Tahoma"/>
            <family val="2"/>
          </rPr>
          <t>Baker, Mike A (DOR): See 10K page 373 / 391</t>
        </r>
        <r>
          <rPr>
            <sz val="9"/>
            <color indexed="81"/>
            <rFont val="Tahoma"/>
            <family val="2"/>
          </rPr>
          <t xml:space="preserve">
</t>
        </r>
      </text>
    </comment>
    <comment ref="G50" authorId="1" shapeId="0" xr:uid="{00000000-0006-0000-0200-00002C000000}">
      <text>
        <r>
          <rPr>
            <sz val="9"/>
            <color indexed="81"/>
            <rFont val="Tahoma"/>
            <family val="2"/>
          </rPr>
          <t>Page 342 / 359 of Full Report 10-K</t>
        </r>
      </text>
    </comment>
    <comment ref="F51" authorId="3" shapeId="0" xr:uid="{6A52A2C8-C786-4F3C-889F-D8BFD736E40B}">
      <text>
        <r>
          <rPr>
            <b/>
            <sz val="9"/>
            <color indexed="81"/>
            <rFont val="Tahoma"/>
            <family val="2"/>
          </rPr>
          <t>Baker, Mike A (DOR):</t>
        </r>
        <r>
          <rPr>
            <sz val="9"/>
            <color indexed="81"/>
            <rFont val="Tahoma"/>
            <family val="2"/>
          </rPr>
          <t xml:space="preserve">
See 10K  page 175 / 186</t>
        </r>
      </text>
    </comment>
    <comment ref="G51" authorId="5" shapeId="0" xr:uid="{00000000-0006-0000-0200-00002D000000}">
      <text>
        <r>
          <rPr>
            <sz val="9"/>
            <color indexed="81"/>
            <rFont val="Tahoma"/>
            <family val="2"/>
          </rPr>
          <t>Page 152, 10-K</t>
        </r>
      </text>
    </comment>
    <comment ref="F52" authorId="3" shapeId="0" xr:uid="{752870AB-F83B-4623-84D7-DE2AB35CFCF4}">
      <text>
        <r>
          <rPr>
            <b/>
            <sz val="9"/>
            <color indexed="81"/>
            <rFont val="Tahoma"/>
            <family val="2"/>
          </rPr>
          <t>Baker, Mike A (DOR):</t>
        </r>
        <r>
          <rPr>
            <sz val="9"/>
            <color indexed="81"/>
            <rFont val="Tahoma"/>
            <family val="2"/>
          </rPr>
          <t xml:space="preserve">
 See 10K page 138 / 142</t>
        </r>
      </text>
    </comment>
    <comment ref="G52" authorId="5" shapeId="0" xr:uid="{00000000-0006-0000-0200-00002E000000}">
      <text>
        <r>
          <rPr>
            <sz val="9"/>
            <color indexed="81"/>
            <rFont val="Tahoma"/>
            <family val="2"/>
          </rPr>
          <t xml:space="preserve">Page 130 / 134 of PDF, 10-K
</t>
        </r>
      </text>
    </comment>
    <comment ref="F53" authorId="3" shapeId="0" xr:uid="{85885D97-24C4-41FD-8155-C17FBD20C35C}">
      <text>
        <r>
          <rPr>
            <b/>
            <sz val="9"/>
            <color indexed="81"/>
            <rFont val="Tahoma"/>
            <family val="2"/>
          </rPr>
          <t>Baker, Mike A (DOR):</t>
        </r>
        <r>
          <rPr>
            <sz val="9"/>
            <color indexed="81"/>
            <rFont val="Tahoma"/>
            <family val="2"/>
          </rPr>
          <t xml:space="preserve">
See 10K page 122 / 125</t>
        </r>
      </text>
    </comment>
    <comment ref="G53" authorId="5" shapeId="0" xr:uid="{00000000-0006-0000-0200-00002F000000}">
      <text>
        <r>
          <rPr>
            <sz val="9"/>
            <color indexed="81"/>
            <rFont val="Tahoma"/>
            <family val="2"/>
          </rPr>
          <t>Page 109 / 112 of PDF, 10-K</t>
        </r>
      </text>
    </comment>
    <comment ref="F54" authorId="3" shapeId="0" xr:uid="{13DB9954-9406-442A-BA0A-66F028123C85}">
      <text>
        <r>
          <rPr>
            <b/>
            <sz val="9"/>
            <color indexed="81"/>
            <rFont val="Tahoma"/>
            <family val="2"/>
          </rPr>
          <t>Baker, Mike A (DOR):See 10K page 157</t>
        </r>
        <r>
          <rPr>
            <sz val="9"/>
            <color indexed="81"/>
            <rFont val="Tahoma"/>
            <family val="2"/>
          </rPr>
          <t xml:space="preserve">
</t>
        </r>
      </text>
    </comment>
    <comment ref="G54" authorId="5" shapeId="0" xr:uid="{00000000-0006-0000-0200-000030000000}">
      <text>
        <r>
          <rPr>
            <sz val="9"/>
            <color indexed="81"/>
            <rFont val="Tahoma"/>
            <family val="2"/>
          </rPr>
          <t>Page 190 of PDF, 10-K</t>
        </r>
      </text>
    </comment>
    <comment ref="F55" authorId="3" shapeId="0" xr:uid="{0CF17D56-878C-40B2-8813-18D7A6AB3D7D}">
      <text>
        <r>
          <rPr>
            <b/>
            <sz val="9"/>
            <color indexed="81"/>
            <rFont val="Tahoma"/>
            <family val="2"/>
          </rPr>
          <t>Baker, Mike A (DOR):</t>
        </r>
        <r>
          <rPr>
            <sz val="9"/>
            <color indexed="81"/>
            <rFont val="Tahoma"/>
            <family val="2"/>
          </rPr>
          <t xml:space="preserve">
See 10K page 173</t>
        </r>
      </text>
    </comment>
    <comment ref="G55" authorId="5" shapeId="0" xr:uid="{FFC7F4A7-FB3E-4AEA-B8BF-E8A827A168BA}">
      <text>
        <r>
          <rPr>
            <sz val="9"/>
            <color indexed="81"/>
            <rFont val="Tahoma"/>
            <family val="2"/>
          </rPr>
          <t>Page 142 of PDF, 10-K</t>
        </r>
      </text>
    </comment>
    <comment ref="F56" authorId="3" shapeId="0" xr:uid="{2A8E0A64-059C-44ED-B434-EB8A3CC9EB54}">
      <text>
        <r>
          <rPr>
            <b/>
            <sz val="9"/>
            <color indexed="81"/>
            <rFont val="Tahoma"/>
            <family val="2"/>
          </rPr>
          <t>Baker, Mike A (DOR):</t>
        </r>
        <r>
          <rPr>
            <sz val="9"/>
            <color indexed="81"/>
            <rFont val="Tahoma"/>
            <family val="2"/>
          </rPr>
          <t xml:space="preserve">
See 10K page 160 / 162</t>
        </r>
      </text>
    </comment>
    <comment ref="G56" authorId="5" shapeId="0" xr:uid="{AAF0DF28-195B-4EDB-8FAE-8AF53FAA299A}">
      <text>
        <r>
          <rPr>
            <sz val="9"/>
            <color indexed="81"/>
            <rFont val="Tahoma"/>
            <family val="2"/>
          </rPr>
          <t>Page 138 /140 of PDF, 10-K</t>
        </r>
      </text>
    </comment>
    <comment ref="F57" authorId="3" shapeId="0" xr:uid="{A80E4ABD-662F-4CF2-99A5-8AE7215E5A4B}">
      <text>
        <r>
          <rPr>
            <b/>
            <sz val="9"/>
            <color indexed="81"/>
            <rFont val="Tahoma"/>
            <family val="2"/>
          </rPr>
          <t>Baker, Mike A (DOR):</t>
        </r>
        <r>
          <rPr>
            <sz val="9"/>
            <color indexed="81"/>
            <rFont val="Tahoma"/>
            <family val="2"/>
          </rPr>
          <t xml:space="preserve">
See 10K page 99 / 111
</t>
        </r>
      </text>
    </comment>
    <comment ref="G57" authorId="5" shapeId="0" xr:uid="{00000000-0006-0000-0200-000032000000}">
      <text>
        <r>
          <rPr>
            <sz val="9"/>
            <color indexed="81"/>
            <rFont val="Tahoma"/>
            <family val="2"/>
          </rPr>
          <t>Page 102 / 114 of PDF, 10-K</t>
        </r>
      </text>
    </comment>
    <comment ref="F58" authorId="3" shapeId="0" xr:uid="{71947A63-E4F3-4B1A-BA2E-B2E4B918ABA2}">
      <text>
        <r>
          <rPr>
            <b/>
            <sz val="9"/>
            <color indexed="81"/>
            <rFont val="Tahoma"/>
            <family val="2"/>
          </rPr>
          <t>Baker, Mike A (DOR): See 10K page70</t>
        </r>
        <r>
          <rPr>
            <sz val="9"/>
            <color indexed="81"/>
            <rFont val="Tahoma"/>
            <family val="2"/>
          </rPr>
          <t xml:space="preserve">
</t>
        </r>
      </text>
    </comment>
    <comment ref="G58" authorId="5" shapeId="0" xr:uid="{00000000-0006-0000-0200-000034000000}">
      <text>
        <r>
          <rPr>
            <sz val="9"/>
            <color indexed="81"/>
            <rFont val="Tahoma"/>
            <family val="2"/>
          </rPr>
          <t>Page 99 of PDF, 10-K</t>
        </r>
      </text>
    </comment>
    <comment ref="F59" authorId="3" shapeId="0" xr:uid="{76CE51A2-9F06-48C0-8231-C19241B9E231}">
      <text>
        <r>
          <rPr>
            <b/>
            <sz val="9"/>
            <color indexed="81"/>
            <rFont val="Tahoma"/>
            <family val="2"/>
          </rPr>
          <t>Baker, Mike A (DOR):</t>
        </r>
        <r>
          <rPr>
            <sz val="9"/>
            <color indexed="81"/>
            <rFont val="Tahoma"/>
            <family val="2"/>
          </rPr>
          <t xml:space="preserve">
See 10K page 56  Added Land easement payments of 33,130,000 @ 90% on page 65.  Land lesaes are op lease like.</t>
        </r>
      </text>
    </comment>
    <comment ref="G59" authorId="5" shapeId="0" xr:uid="{00000000-0006-0000-0200-000035000000}">
      <text>
        <r>
          <rPr>
            <sz val="9"/>
            <color indexed="81"/>
            <rFont val="Tahoma"/>
            <family val="2"/>
          </rPr>
          <t>Page 70 of PDF, 10-K</t>
        </r>
      </text>
    </comment>
    <comment ref="F60" authorId="3" shapeId="0" xr:uid="{02694EC2-9939-4899-A98A-946B11CD4E11}">
      <text>
        <r>
          <rPr>
            <b/>
            <sz val="9"/>
            <color indexed="81"/>
            <rFont val="Tahoma"/>
            <family val="2"/>
          </rPr>
          <t>Baker, Mike A (DOR): See 10K  page 147 / 160</t>
        </r>
        <r>
          <rPr>
            <sz val="9"/>
            <color indexed="81"/>
            <rFont val="Tahoma"/>
            <family val="2"/>
          </rPr>
          <t xml:space="preserve">
</t>
        </r>
      </text>
    </comment>
    <comment ref="G60" authorId="5" shapeId="0" xr:uid="{00000000-0006-0000-0200-000036000000}">
      <text>
        <r>
          <rPr>
            <sz val="9"/>
            <color indexed="81"/>
            <rFont val="Tahoma"/>
            <family val="2"/>
          </rPr>
          <t>Page 190 of PDF, 10-K (PPL line)</t>
        </r>
      </text>
    </comment>
    <comment ref="F61" authorId="3" shapeId="0" xr:uid="{8CA13169-F88E-47F3-89FB-1BDD11394E0D}">
      <text>
        <r>
          <rPr>
            <b/>
            <sz val="9"/>
            <color indexed="81"/>
            <rFont val="Tahoma"/>
            <family val="2"/>
          </rPr>
          <t xml:space="preserve">Baker, Mike A (DOR): See 10K page </t>
        </r>
        <r>
          <rPr>
            <sz val="9"/>
            <color indexed="81"/>
            <rFont val="Tahoma"/>
            <family val="2"/>
          </rPr>
          <t xml:space="preserve">
II-80 / 127</t>
        </r>
      </text>
    </comment>
    <comment ref="G61" authorId="5" shapeId="0" xr:uid="{00000000-0006-0000-0200-000037000000}">
      <text>
        <r>
          <rPr>
            <sz val="9"/>
            <color indexed="81"/>
            <rFont val="Tahoma"/>
            <family val="2"/>
          </rPr>
          <t>Page 288 of 10-K</t>
        </r>
      </text>
    </comment>
    <comment ref="F62" authorId="3" shapeId="0" xr:uid="{C0FA3A64-8B8F-4056-BDE0-9D477E82BC73}">
      <text>
        <r>
          <rPr>
            <b/>
            <sz val="9"/>
            <color indexed="81"/>
            <rFont val="Tahoma"/>
            <family val="2"/>
          </rPr>
          <t>Baker, Mike A (DOR): See 10K page136</t>
        </r>
        <r>
          <rPr>
            <sz val="9"/>
            <color indexed="81"/>
            <rFont val="Tahoma"/>
            <family val="2"/>
          </rPr>
          <t xml:space="preserve">
</t>
        </r>
      </text>
    </comment>
    <comment ref="G62" authorId="5" shapeId="0" xr:uid="{00000000-0006-0000-0200-000039000000}">
      <text>
        <r>
          <rPr>
            <sz val="9"/>
            <color indexed="81"/>
            <rFont val="Tahoma"/>
            <family val="2"/>
          </rPr>
          <t>Page 140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E22" authorId="0" shapeId="0" xr:uid="{4FEA1386-2744-4761-93C5-D8F44E476027}">
      <text>
        <r>
          <rPr>
            <b/>
            <sz val="9"/>
            <color indexed="81"/>
            <rFont val="Tahoma"/>
            <family val="2"/>
          </rPr>
          <t>Baker, Mike A (DOR):</t>
        </r>
        <r>
          <rPr>
            <sz val="9"/>
            <color indexed="81"/>
            <rFont val="Tahoma"/>
            <family val="2"/>
          </rPr>
          <t xml:space="preserve">
Removed noncontrolling interests equity</t>
        </r>
      </text>
    </comment>
    <comment ref="E26" authorId="0" shapeId="0" xr:uid="{485F2D08-3B78-4713-B1B4-8C8BF30BE987}">
      <text>
        <r>
          <rPr>
            <b/>
            <sz val="9"/>
            <color indexed="81"/>
            <rFont val="Tahoma"/>
            <family val="2"/>
          </rPr>
          <t>Baker, Mike A (DOR):</t>
        </r>
        <r>
          <rPr>
            <sz val="9"/>
            <color indexed="81"/>
            <rFont val="Tahoma"/>
            <family val="2"/>
          </rPr>
          <t xml:space="preserve">
Remove preferred stock book value</t>
        </r>
      </text>
    </comment>
    <comment ref="E35" authorId="0" shapeId="0" xr:uid="{7504FF26-3DB6-4EF8-B9DF-CA5659494596}">
      <text>
        <r>
          <rPr>
            <b/>
            <sz val="9"/>
            <color indexed="81"/>
            <rFont val="Tahoma"/>
            <family val="2"/>
          </rPr>
          <t>Baker, Mike A (DOR): See 10K page 78/91</t>
        </r>
        <r>
          <rPr>
            <sz val="9"/>
            <color indexed="81"/>
            <rFont val="Tahoma"/>
            <family val="2"/>
          </rPr>
          <t xml:space="preserve">
</t>
        </r>
      </text>
    </comment>
  </commentList>
</comments>
</file>

<file path=xl/sharedStrings.xml><?xml version="1.0" encoding="utf-8"?>
<sst xmlns="http://schemas.openxmlformats.org/spreadsheetml/2006/main" count="1662" uniqueCount="526">
  <si>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</si>
  <si>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</si>
  <si>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</si>
  <si>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</si>
  <si>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</si>
  <si>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</si>
  <si>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</si>
  <si>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</si>
  <si>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</si>
  <si>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</si>
  <si>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</si>
  <si>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</si>
  <si>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</si>
  <si>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</si>
  <si>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</si>
  <si>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</si>
  <si>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</si>
  <si>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</si>
  <si>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</si>
  <si>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</si>
  <si>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</si>
  <si>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</si>
  <si>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</si>
  <si>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</si>
  <si>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</si>
  <si>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</si>
  <si>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</si>
  <si>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</si>
  <si>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</si>
  <si>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</si>
  <si>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</si>
  <si>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</si>
  <si>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</si>
  <si>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</si>
  <si>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</si>
  <si>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</si>
  <si>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</si>
  <si>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</si>
  <si>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</si>
  <si>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</si>
  <si>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</si>
  <si>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</si>
  <si>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</si>
  <si>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</si>
  <si>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Alliant Energy</t>
  </si>
  <si>
    <t>AMEREN</t>
  </si>
  <si>
    <t>American Electric Power</t>
  </si>
  <si>
    <t>Centerpoint Energy</t>
  </si>
  <si>
    <t>CMS Energy</t>
  </si>
  <si>
    <t>DTE Energy</t>
  </si>
  <si>
    <t>OGE Energy Corp.</t>
  </si>
  <si>
    <t>Otter Tail Corp</t>
  </si>
  <si>
    <t>WEC Energy Group</t>
  </si>
  <si>
    <t>ALE</t>
  </si>
  <si>
    <t>LNT</t>
  </si>
  <si>
    <t>CMS</t>
  </si>
  <si>
    <t>DTE</t>
  </si>
  <si>
    <t>OGE</t>
  </si>
  <si>
    <t>AEE</t>
  </si>
  <si>
    <t>AEP</t>
  </si>
  <si>
    <t>CNP</t>
  </si>
  <si>
    <t>OTTR</t>
  </si>
  <si>
    <t>WEC</t>
  </si>
  <si>
    <t>A+</t>
  </si>
  <si>
    <t xml:space="preserve">  </t>
  </si>
  <si>
    <t>High</t>
  </si>
  <si>
    <t>Low</t>
  </si>
  <si>
    <t>DUK</t>
  </si>
  <si>
    <t>Entergy Corp</t>
  </si>
  <si>
    <t>ETR</t>
  </si>
  <si>
    <t>PPL Corp</t>
  </si>
  <si>
    <t>PPL</t>
  </si>
  <si>
    <t>Southern Company</t>
  </si>
  <si>
    <t>SO</t>
  </si>
  <si>
    <t>Duke Energy</t>
  </si>
  <si>
    <t>PPL Corporation</t>
  </si>
  <si>
    <t>Mergent Bond</t>
  </si>
  <si>
    <t>Rating</t>
  </si>
  <si>
    <t>FirstEnergy Corp</t>
  </si>
  <si>
    <t>FE</t>
  </si>
  <si>
    <t>Debt Rate</t>
  </si>
  <si>
    <t>S&amp;P</t>
  </si>
  <si>
    <t>S &amp; P</t>
  </si>
  <si>
    <t>% LT Debt &amp; Pref Stock</t>
  </si>
  <si>
    <t>Baa1</t>
  </si>
  <si>
    <t>Baa2</t>
  </si>
  <si>
    <t>BBB+</t>
  </si>
  <si>
    <t>BBB</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</si>
  <si>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</si>
  <si>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</si>
  <si>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</si>
  <si>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</si>
  <si>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</si>
  <si>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</si>
  <si>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BBB-</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</si>
  <si>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</si>
  <si>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</si>
  <si>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</si>
  <si>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</si>
  <si>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</si>
  <si>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</si>
  <si>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</si>
  <si>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</si>
  <si>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</si>
  <si>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</si>
  <si>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</si>
  <si>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</si>
  <si>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</si>
  <si>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</si>
  <si>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</si>
  <si>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</si>
  <si>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</si>
  <si>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</si>
  <si>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</si>
  <si>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</si>
  <si>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</si>
  <si>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</si>
  <si>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</si>
  <si>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</si>
  <si>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</si>
  <si>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</si>
  <si>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</si>
  <si>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</si>
  <si>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</si>
  <si>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</si>
  <si>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</si>
  <si>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</si>
  <si>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</si>
  <si>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</si>
  <si>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</si>
  <si>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</si>
  <si>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</si>
  <si>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</si>
  <si>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</si>
  <si>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</si>
  <si>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</si>
  <si>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</si>
  <si>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</si>
  <si>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</si>
  <si>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</si>
  <si>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</si>
  <si>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</si>
  <si>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</si>
  <si>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</si>
  <si>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</si>
  <si>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</si>
  <si>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</si>
  <si>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</si>
  <si>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</si>
  <si>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</si>
  <si>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</si>
  <si>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</si>
  <si>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</si>
  <si>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</si>
  <si>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</si>
  <si>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</si>
  <si>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</si>
  <si>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</si>
  <si>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</si>
  <si>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</si>
  <si>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</si>
  <si>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</si>
  <si>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</si>
  <si>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</si>
  <si>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</si>
  <si>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</si>
  <si>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</si>
  <si>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</si>
  <si>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</si>
  <si>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</si>
  <si>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</si>
  <si>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</si>
  <si>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</si>
  <si>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</si>
  <si>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</si>
  <si>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</si>
  <si>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</si>
  <si>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</si>
  <si>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</si>
  <si>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</si>
  <si>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</si>
  <si>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</si>
  <si>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</si>
  <si>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</si>
  <si>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</si>
  <si>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</si>
  <si>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</si>
  <si>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</si>
  <si>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</si>
  <si>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</si>
  <si>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</si>
  <si>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</si>
  <si>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</si>
  <si>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</si>
  <si>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</si>
  <si>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</si>
  <si>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</si>
  <si>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</si>
  <si>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</si>
  <si>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</si>
  <si>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</si>
  <si>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</si>
  <si>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</si>
  <si>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</si>
  <si>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</si>
  <si>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</si>
  <si>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</si>
  <si>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</si>
  <si>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</si>
  <si>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</si>
  <si>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AA-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</si>
  <si>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</si>
  <si>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</si>
  <si>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</si>
  <si>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</si>
  <si>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</si>
  <si>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</si>
  <si>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</si>
  <si>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</si>
  <si>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</si>
  <si>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</si>
  <si>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</si>
  <si>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</si>
  <si>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</si>
  <si>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</si>
  <si>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</si>
  <si>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</si>
  <si>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</si>
  <si>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</si>
  <si>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</si>
  <si>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</si>
  <si>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</si>
  <si>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</si>
  <si>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</si>
  <si>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</si>
  <si>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</si>
  <si>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</si>
  <si>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</si>
  <si>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</si>
  <si>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</si>
  <si>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</si>
  <si>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</si>
  <si>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</si>
  <si>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</si>
  <si>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</si>
  <si>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</si>
  <si>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</si>
  <si>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</si>
  <si>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</si>
  <si>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</si>
  <si>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</si>
  <si>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</si>
  <si>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</si>
  <si>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</si>
  <si>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</si>
  <si>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</si>
  <si>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</si>
  <si>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</si>
  <si>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</si>
  <si>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</si>
  <si>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</si>
  <si>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</si>
  <si>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</si>
  <si>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</si>
  <si>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</si>
  <si>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</si>
  <si>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</si>
  <si>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</si>
  <si>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</si>
  <si>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</si>
  <si>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</si>
  <si>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</si>
  <si>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</si>
  <si>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</si>
  <si>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</si>
  <si>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</si>
  <si>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</si>
  <si>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</si>
  <si>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</si>
  <si>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</si>
  <si>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</si>
  <si>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t>VL LT Projected NOI</t>
  </si>
  <si>
    <t>Indicated Rate of Debt &gt;</t>
  </si>
  <si>
    <t>Year End</t>
  </si>
  <si>
    <t>&amp; Finance Leases</t>
  </si>
  <si>
    <t>10K Income Statement</t>
  </si>
  <si>
    <t>10K Balance Sheet</t>
  </si>
  <si>
    <t>Indicated Rate of Equity Selected &gt;</t>
  </si>
  <si>
    <t>NOTE:</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</si>
  <si>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</si>
  <si>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</si>
  <si>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</si>
  <si>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</si>
  <si>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</si>
  <si>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</si>
  <si>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</si>
  <si>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</si>
  <si>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</si>
  <si>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</si>
  <si>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</si>
  <si>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</si>
  <si>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</si>
  <si>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</si>
  <si>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</si>
  <si>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</si>
  <si>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</si>
  <si>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</si>
  <si>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</si>
  <si>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</si>
  <si>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</si>
  <si>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</si>
  <si>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Trimmed Average</t>
  </si>
  <si>
    <t>*Cornell, B. &amp; Gerger, R. (2017) Estimating Terminal Values with Inflation : The Inputs Matter - It is Not a Formulaic Exercise.  Business Valuation Review, Vol.36, Number 4, 117-123.</t>
  </si>
  <si>
    <t>C1  C2  C3</t>
  </si>
  <si>
    <t>MEDIAN GROWTH RATES</t>
  </si>
  <si>
    <t>SOURCE &gt;</t>
  </si>
  <si>
    <t>SOURCES &gt;</t>
  </si>
  <si>
    <t>ALLETE Inc</t>
  </si>
  <si>
    <t>Evergy Inc</t>
  </si>
  <si>
    <t>EVRG</t>
  </si>
  <si>
    <t>ALLETE</t>
  </si>
  <si>
    <t>Vl Projected 2023</t>
  </si>
  <si>
    <t>1 Yr Projected</t>
  </si>
  <si>
    <t>3-5 Yr Projected</t>
  </si>
  <si>
    <t>Short Term</t>
  </si>
  <si>
    <t>(1)</t>
  </si>
  <si>
    <t>(1)    4 Year compound annual growth rate (CAGR)  - 3 periods</t>
  </si>
  <si>
    <t>Earnings Data</t>
  </si>
  <si>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</si>
  <si>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</si>
  <si>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</si>
  <si>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</si>
  <si>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</si>
  <si>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</si>
  <si>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</si>
  <si>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</si>
  <si>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</si>
  <si>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</si>
  <si>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</si>
  <si>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</si>
  <si>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</si>
  <si>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</si>
  <si>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</si>
  <si>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</si>
  <si>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</si>
  <si>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</si>
  <si>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</si>
  <si>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</si>
  <si>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</si>
  <si>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</si>
  <si>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</si>
  <si>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</si>
  <si>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</si>
  <si>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</si>
  <si>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</si>
  <si>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</si>
  <si>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</si>
  <si>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</si>
  <si>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</si>
  <si>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</si>
  <si>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</si>
  <si>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</si>
  <si>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</si>
  <si>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</si>
  <si>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</si>
  <si>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</si>
  <si>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t>Companies added to the study &gt;</t>
  </si>
  <si>
    <r>
      <t>K</t>
    </r>
    <r>
      <rPr>
        <b/>
        <sz val="10"/>
        <color theme="1"/>
        <rFont val="Microsoft GothicNeo"/>
        <family val="2"/>
        <charset val="129"/>
      </rPr>
      <t>E</t>
    </r>
    <r>
      <rPr>
        <b/>
        <sz val="16"/>
        <color theme="1"/>
        <rFont val="Microsoft GothicNeo"/>
        <family val="2"/>
        <charset val="129"/>
      </rPr>
      <t xml:space="preserve"> = (DY  X  (1+ .5(G)))  + .67(G1)  +  .33(g)</t>
    </r>
  </si>
  <si>
    <t>DY = Dividend Yield     See ValueLine</t>
  </si>
  <si>
    <t>G   = Average growth rate</t>
  </si>
  <si>
    <t>G1 = Short term growth estimate</t>
  </si>
  <si>
    <t>g   = Stable Growth - Nominal growth rate</t>
  </si>
  <si>
    <t>AAA</t>
  </si>
  <si>
    <t>AA+</t>
  </si>
  <si>
    <t>AA</t>
  </si>
  <si>
    <t>Obligations rated Aa are judged to be of high quality, with minimal risk.</t>
  </si>
  <si>
    <t>BB+</t>
  </si>
  <si>
    <t>BB</t>
  </si>
  <si>
    <t>BB-</t>
  </si>
  <si>
    <t>B-</t>
  </si>
  <si>
    <t>CCC+</t>
  </si>
  <si>
    <t>CCC</t>
  </si>
  <si>
    <t>CCC-</t>
  </si>
  <si>
    <t>CC</t>
  </si>
  <si>
    <t>Scale</t>
  </si>
  <si>
    <t>Retained to</t>
  </si>
  <si>
    <t>Shareholders Equity</t>
  </si>
  <si>
    <t>Return on Shareholders Equity -- Annual net profit divided by year-end shareholders equity, expressed as a percentage.</t>
  </si>
  <si>
    <t>Retained to Common Equity -- Net profit less all common and preferred dividends divided by common equity including intangible assets, expressed as a percentage.  Also known as the plowback ratio.</t>
  </si>
  <si>
    <t>Aaa1</t>
  </si>
  <si>
    <t>AAA+</t>
  </si>
  <si>
    <t>Aaa2</t>
  </si>
  <si>
    <t>Aaa3</t>
  </si>
  <si>
    <t>AAA-</t>
  </si>
  <si>
    <t>Ca1</t>
  </si>
  <si>
    <t>CC+</t>
  </si>
  <si>
    <t>Ca2</t>
  </si>
  <si>
    <t>Ca3</t>
  </si>
  <si>
    <t>CC-</t>
  </si>
  <si>
    <t>GROSS REVENUE &amp; GROSS BOOK (EQUITY) MULTIPLES</t>
  </si>
  <si>
    <t>Gross Revenues</t>
  </si>
  <si>
    <t>Gross Book Value Equity</t>
  </si>
  <si>
    <t>Multiple *</t>
  </si>
  <si>
    <t>* This multiple is applicable to service type companies, or those with few assets.  These companies sell at prices related to their revenues.</t>
  </si>
  <si>
    <t>The higher the return on revenue the higher the price to revenue will be.</t>
  </si>
  <si>
    <t>** The book value, or common equity, per share is total owners' equity minus preferred stock divided by the number of common shares outstanding.</t>
  </si>
  <si>
    <t>The purpose of this ratio is to test whether the market price is worth more (or less) than the cost of the assets.</t>
  </si>
  <si>
    <t>If the result is greater than one(1), it indicates the market value exceeds book value and can often be used as a sign of competent management.</t>
  </si>
  <si>
    <t>Share</t>
  </si>
  <si>
    <t>NOPAT Earnings</t>
  </si>
  <si>
    <t>P/E Ratio - Long Term Projection NOPAT</t>
  </si>
  <si>
    <t>&amp; Op Leases</t>
  </si>
  <si>
    <t>CS+LTD +PS +OL</t>
  </si>
  <si>
    <t>Dec. 31, 2022</t>
  </si>
  <si>
    <t xml:space="preserve">For rate based companies, the maximum allowed  'rate of return' established by state regulators is not comparable (a mismatch) to the 'cost of equity' calculated above.   </t>
  </si>
  <si>
    <t>Dividend Growth = DY + DG</t>
  </si>
  <si>
    <t>Earnings Growth = DY + EG</t>
  </si>
  <si>
    <t>DY = Dividend Yield</t>
  </si>
  <si>
    <t>DG = Dividend Growth</t>
  </si>
  <si>
    <t>EG = Earnings Growth</t>
  </si>
  <si>
    <t>G = Projected Growth (Div. 5 Yr Growth Rate)</t>
  </si>
  <si>
    <t>G = Projected Growth (Earnings Per Share 5 Yr Growth Rate)</t>
  </si>
  <si>
    <t>nmf</t>
  </si>
  <si>
    <t>Evergy Inc (EVRG) - provides electric service to customers in Kansas and Missouri via coal and nuclear power</t>
  </si>
  <si>
    <t>Companies for consideration as future adds to the study &gt;</t>
  </si>
  <si>
    <t>Black Hills (BKH) - a western company, provides gas service to 1.1 million customers in NE, IA, KS, CO, WY, &amp; AR.  Also provides electric service to 218K customers in CO, SD, WY, and MT.</t>
  </si>
  <si>
    <t>MGE Energy (MGEE) - Removed due to a lack of a ValueLine review sheet</t>
  </si>
  <si>
    <t>Per Share **</t>
  </si>
  <si>
    <t>AMEREN Corporation</t>
  </si>
  <si>
    <t>Common Total Equity excludes 'noncontrolling interests' equity value.</t>
  </si>
  <si>
    <t xml:space="preserve">Property, Plant &amp; Equipment includes CWIP, but should exclude intangibles and the associated amortization.  </t>
  </si>
  <si>
    <t xml:space="preserve">Guideline companies were selected from Electric (East &amp; Central) Value Line Industry groups. </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</si>
  <si>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</si>
  <si>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</si>
  <si>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</si>
  <si>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Inflation is the % change in the value of the Wholesale Price Index (WPI) on a year-to-year basis.</t>
  </si>
  <si>
    <t>5 Yr  Dec 30 2022</t>
  </si>
  <si>
    <t>3.99 - 1.63 = 2.36</t>
  </si>
  <si>
    <t>Federal Reserve Statistical release - Inflation Protected Treasury Indexed Securities - 10 Year  (1)</t>
  </si>
  <si>
    <t>10 Yr  Dec 30 2022</t>
  </si>
  <si>
    <t>3.88 - 1.58 = 2.30</t>
  </si>
  <si>
    <t xml:space="preserve">Federal Reserve Statistical release - Inflation Protected Treasury Indexed Securities - 20 Year  (1) </t>
  </si>
  <si>
    <t>20 Yr  Dec 30 2022</t>
  </si>
  <si>
    <t>4.14 - 1.61 = 2.53</t>
  </si>
  <si>
    <t xml:space="preserve">Federal Reserve Statistical release - Inflation Protected Treasury Indexed Securities - 30 Year (1) </t>
  </si>
  <si>
    <t>30 Yr  Dec 30 2022</t>
  </si>
  <si>
    <t>3.97 - 1.66 = 2.31</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</si>
  <si>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</si>
  <si>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</si>
  <si>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</si>
  <si>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</si>
  <si>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</si>
  <si>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Projected 1 Yr</t>
  </si>
  <si>
    <t>Estimated 20-22 to 26-28</t>
  </si>
  <si>
    <t>Earnings Per Share Growth Rate</t>
  </si>
  <si>
    <t>Electric Utility - East</t>
  </si>
  <si>
    <t>Electric Utility - Cent</t>
  </si>
  <si>
    <t xml:space="preserve">Risk Free Rate (Rf) </t>
  </si>
  <si>
    <t xml:space="preserve">Yield Equity Rate - DGM (Dividend Growth) &amp; DGM (Earnings Growth)  -- Gordon Growth </t>
  </si>
  <si>
    <t>Three Stage Ex Ante  Version 1  (1) (2)</t>
  </si>
  <si>
    <t>Three Stage Ex Ante  Version 2   (1) (2)</t>
  </si>
  <si>
    <t>CAPM - Ex Ante, Three Stage - V1</t>
  </si>
  <si>
    <t>CAPM - Ex Ante, Three Stage - V2</t>
  </si>
  <si>
    <t>Empirical CAPM - Ex Ante, Three Stage - V1</t>
  </si>
  <si>
    <t>Empirical CAPM - Ex Ante, Three Stage - V2</t>
  </si>
  <si>
    <t xml:space="preserve">(8) KROLL, Cost of Capital Navigator. (2023). </t>
  </si>
  <si>
    <t>Mean</t>
  </si>
  <si>
    <t>A market to book ratio over one would be an indication of no obsolescence.</t>
  </si>
  <si>
    <t xml:space="preserve">S&amp;P Rating </t>
  </si>
  <si>
    <t>Corporate 4th Qtr Avg</t>
  </si>
  <si>
    <t>Utility 4th Qtr Avg</t>
  </si>
  <si>
    <t>Electric Utilities</t>
  </si>
  <si>
    <r>
      <t xml:space="preserve">KY DOR                    Earnings Growth Rate                             </t>
    </r>
    <r>
      <rPr>
        <b/>
        <sz val="9"/>
        <color theme="1"/>
        <rFont val="Microsoft GothicNeo"/>
        <family val="2"/>
        <charset val="129"/>
      </rPr>
      <t>(Median / Average)</t>
    </r>
  </si>
  <si>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</si>
  <si>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</si>
  <si>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</si>
  <si>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</si>
  <si>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</si>
  <si>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</si>
  <si>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</si>
  <si>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</si>
  <si>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</si>
  <si>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Harmonic Mean</t>
  </si>
  <si>
    <t>Empirical CAPM - S&amp;P Global Market</t>
  </si>
  <si>
    <t>CAPM - S&amp;P Global Market</t>
  </si>
  <si>
    <t>CAPM - Ex Ante  Damodaran Net Cash Yield</t>
  </si>
  <si>
    <t>CAPM - Ex Ante  Damodaran NEP</t>
  </si>
  <si>
    <t>CAPM - Ex Ante  Damodaran 12 Mo Cash Yield</t>
  </si>
  <si>
    <t>Empirical CAPM - Ex Ante  Damodaran 12 Mo Cash Yield</t>
  </si>
  <si>
    <t>Empirical CAPM - Ex Ante  Damodaran Net Cash Yield</t>
  </si>
  <si>
    <t>Empirical CAPM - Ex Ante  Damodaran NEP</t>
  </si>
  <si>
    <t>Damodaran Implied ERP Ex Ante   Net Cash Yield (3)</t>
  </si>
  <si>
    <t>Damodaran Implied ERP Ex Ante   Norm. Earnings &amp; Payout (3)</t>
  </si>
  <si>
    <t>Damodaran Implied ERP Ex Ante   Trailing 12 mo Cash Yield (3)</t>
  </si>
  <si>
    <t>KROLL Ex Post  - ERP Historical (8)</t>
  </si>
  <si>
    <t>KROLL Ex Post - ERP Supply Side (8)</t>
  </si>
  <si>
    <t>KROLL Ex Ante - ERP Conditional (8)</t>
  </si>
  <si>
    <t xml:space="preserve">CAPM - KROLL Ex Post  - ERP Historical </t>
  </si>
  <si>
    <t xml:space="preserve">CAPM - KROLL Ex Post - ERP Supply Side </t>
  </si>
  <si>
    <t xml:space="preserve">CAPM - KROLL Ex Ante - ERP Conditional </t>
  </si>
  <si>
    <t xml:space="preserve">Empirical CAPM - KROLL Ex Post  - ERP Historical </t>
  </si>
  <si>
    <t xml:space="preserve">Empirical CAPM - KROLL Ex Post - ERP Supply Side </t>
  </si>
  <si>
    <t xml:space="preserve">Empirical CAPM - KROLL Ex Ante - ERP Conditional </t>
  </si>
  <si>
    <t xml:space="preserve">(6) &amp; (7) Business Valuation Resources, Cost of Capital Professional. (2023). Historical ERP, using arithmetic mean, geometric mean, and 20-Year Treasury Securities. </t>
  </si>
  <si>
    <t>Damodaran Implied ERP Ex Ante   Avg CF Yield Last 10 Yrs (3)</t>
  </si>
  <si>
    <t>P. Fernandez, T. Garcia de Santos &amp; J.F.Acin  (5)</t>
  </si>
  <si>
    <t xml:space="preserve">(5) Fernandez, P., Garcia de Santos, T., &amp; Acin, J. F. (2022). Survey: Market Risk Premium and Risk-Free Rate Used for 95 Countries in 2022. 1591 US ERP only respondents.  SSRN Electronic Journal. </t>
  </si>
  <si>
    <t xml:space="preserve">(4) The CFO Survey (2022). Data &amp; Results December 2, 2022. Mean average annual S&amp;P return over next ten years (8.5%) less annual yield on 10-year Treasury Bonds . </t>
  </si>
  <si>
    <t>Empirical CAPM - Ex Ante  Damodaran Avg CF Yield Last 10 Yrs</t>
  </si>
  <si>
    <t>CAPM - Ex Ante  Damodaran Avg CF Yield Last 10 Yrs</t>
  </si>
  <si>
    <t>NOPAT CASH FLOW MULTIPLE &amp; EQUITY RATE (LT 25-27 Yr Projected VL)</t>
  </si>
  <si>
    <t>The Southern Company</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</si>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</sst>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_(&quot;$&quot;* #,##0.0_);_(&quot;$&quot;* \(#,##0.0\);_(&quot;$&quot;* &quot;-&quot;??_);_(@_)"/>
    <numFmt numFmtId="171" formatCode="0.0000%"/>
  </numFmts>
  <fonts count="71">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b/>
      <sz val="9"/>
      <color indexed="81"/>
      <name val="Tahoma"/>
      <family val="2"/>
    </font>
    <font>
      <i/>
      <sz val="11"/>
      <color theme="1"/>
      <name val="Calibri"/>
      <family val="2"/>
      <scheme val="minor"/>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i/>
      <sz val="11"/>
      <color theme="1"/>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rgb="FF0000CC"/>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sz val="18"/>
      <color rgb="FF0000CC"/>
      <name val="Microsoft GothicNeo"/>
      <family val="2"/>
      <charset val="129"/>
    </font>
    <font>
      <sz val="12"/>
      <color rgb="FF000000"/>
      <name val="Microsoft GothicNeo"/>
      <family val="2"/>
      <charset val="129"/>
    </font>
    <font>
      <b/>
      <i/>
      <sz val="14"/>
      <color theme="1"/>
      <name val="Calibri"/>
      <family val="2"/>
      <scheme val="minor"/>
    </font>
    <font>
      <u/>
      <sz val="11"/>
      <color rgb="FF0000CC"/>
      <name val="Calibri"/>
      <family val="2"/>
      <scheme val="minor"/>
    </font>
    <font>
      <sz val="11"/>
      <name val="Calibri"/>
      <family val="2"/>
      <scheme val="minor"/>
    </font>
    <font>
      <b/>
      <sz val="9"/>
      <name val="Microsoft GothicNeo"/>
      <family val="2"/>
      <charset val="129"/>
    </font>
    <font>
      <b/>
      <sz val="18"/>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9" fillId="0" borderId="0"/>
    <xf numFmtId="0" fontId="19" fillId="0" borderId="0"/>
    <xf numFmtId="0" fontId="20" fillId="0" borderId="0" applyNumberFormat="0" applyFill="0" applyBorder="0" applyAlignment="0" applyProtection="0"/>
  </cellStyleXfs>
  <cellXfs count="455">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0" fontId="18" fillId="0" borderId="0" xfId="0" applyFont="1"/>
    <xf numFmtId="167" fontId="15" fillId="2" borderId="0" xfId="0" applyNumberFormat="1" applyFont="1" applyFill="1" applyAlignment="1">
      <alignment horizontal="center"/>
    </xf>
    <xf numFmtId="0" fontId="21" fillId="0" borderId="0" xfId="0" applyFont="1"/>
    <xf numFmtId="0" fontId="21" fillId="0" borderId="0" xfId="0" applyFont="1" applyAlignment="1">
      <alignment horizontal="center"/>
    </xf>
    <xf numFmtId="0" fontId="23" fillId="0" borderId="0" xfId="0" applyFont="1" applyAlignment="1">
      <alignment horizontal="right"/>
    </xf>
    <xf numFmtId="43" fontId="24" fillId="0" borderId="0" xfId="1" applyFont="1" applyAlignment="1">
      <alignment horizontal="right" vertical="center"/>
    </xf>
    <xf numFmtId="43" fontId="24" fillId="0" borderId="0" xfId="1" applyFont="1" applyFill="1" applyAlignment="1">
      <alignment horizontal="right" vertical="center"/>
    </xf>
    <xf numFmtId="43" fontId="23" fillId="0" borderId="0" xfId="1" applyFont="1" applyFill="1" applyAlignment="1">
      <alignment horizontal="right"/>
    </xf>
    <xf numFmtId="43" fontId="23" fillId="0" borderId="0" xfId="1" applyFont="1" applyFill="1" applyAlignment="1">
      <alignment horizontal="center"/>
    </xf>
    <xf numFmtId="43" fontId="23" fillId="0" borderId="0" xfId="1" applyFont="1" applyFill="1" applyAlignment="1">
      <alignment horizontal="center" vertical="center"/>
    </xf>
    <xf numFmtId="43" fontId="23" fillId="0" borderId="0" xfId="1" applyFont="1" applyFill="1" applyBorder="1" applyAlignment="1">
      <alignment horizontal="center" vertical="center"/>
    </xf>
    <xf numFmtId="43" fontId="23" fillId="0" borderId="0" xfId="1" applyFont="1" applyFill="1"/>
    <xf numFmtId="164" fontId="23" fillId="0" borderId="0" xfId="1" applyNumberFormat="1" applyFont="1" applyFill="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16" xfId="0" applyFont="1" applyBorder="1"/>
    <xf numFmtId="0" fontId="21" fillId="0" borderId="2" xfId="0" applyFont="1" applyBorder="1"/>
    <xf numFmtId="0" fontId="29" fillId="0" borderId="2" xfId="0" applyFont="1" applyBorder="1"/>
    <xf numFmtId="0" fontId="30" fillId="0" borderId="0" xfId="0" applyFont="1"/>
    <xf numFmtId="0" fontId="26" fillId="0" borderId="0" xfId="0" applyFont="1" applyAlignment="1">
      <alignment horizontal="center"/>
    </xf>
    <xf numFmtId="0" fontId="31" fillId="0" borderId="2" xfId="0" applyFont="1" applyBorder="1" applyAlignment="1">
      <alignment horizontal="center"/>
    </xf>
    <xf numFmtId="0" fontId="32" fillId="0" borderId="2" xfId="0" applyFont="1" applyBorder="1" applyAlignment="1">
      <alignment horizontal="center"/>
    </xf>
    <xf numFmtId="0" fontId="23" fillId="0" borderId="0" xfId="0" applyFont="1" applyAlignment="1">
      <alignment horizontal="center"/>
    </xf>
    <xf numFmtId="0" fontId="31" fillId="0" borderId="0" xfId="0" applyFont="1" applyAlignment="1">
      <alignment horizontal="center"/>
    </xf>
    <xf numFmtId="0" fontId="23" fillId="0" borderId="2" xfId="0" applyFont="1" applyBorder="1" applyAlignment="1">
      <alignment horizontal="center"/>
    </xf>
    <xf numFmtId="0" fontId="33" fillId="0" borderId="2" xfId="0" applyFont="1" applyBorder="1" applyAlignment="1">
      <alignment horizontal="center"/>
    </xf>
    <xf numFmtId="0" fontId="32" fillId="0" borderId="1" xfId="0" applyFont="1" applyBorder="1" applyAlignment="1">
      <alignment horizontal="center"/>
    </xf>
    <xf numFmtId="0" fontId="34" fillId="0" borderId="1" xfId="0" applyFont="1" applyBorder="1" applyAlignment="1">
      <alignment horizontal="center"/>
    </xf>
    <xf numFmtId="0" fontId="32" fillId="0" borderId="0" xfId="0" applyFont="1" applyAlignment="1">
      <alignment horizontal="center"/>
    </xf>
    <xf numFmtId="0" fontId="35" fillId="0" borderId="2" xfId="0" applyFont="1" applyBorder="1" applyAlignment="1">
      <alignment horizontal="center"/>
    </xf>
    <xf numFmtId="0" fontId="37" fillId="0" borderId="1" xfId="0" applyFont="1" applyBorder="1" applyAlignment="1">
      <alignment horizontal="center"/>
    </xf>
    <xf numFmtId="0" fontId="23" fillId="0" borderId="0" xfId="0" applyFont="1"/>
    <xf numFmtId="166" fontId="24" fillId="0" borderId="0" xfId="1" applyNumberFormat="1" applyFont="1" applyFill="1" applyAlignment="1">
      <alignment horizontal="center"/>
    </xf>
    <xf numFmtId="166" fontId="24" fillId="0" borderId="0" xfId="1" applyNumberFormat="1" applyFont="1" applyFill="1"/>
    <xf numFmtId="0" fontId="23" fillId="0" borderId="4" xfId="0" applyFont="1" applyBorder="1"/>
    <xf numFmtId="0" fontId="24" fillId="0" borderId="0" xfId="0" applyFont="1" applyAlignment="1">
      <alignment horizontal="center" vertical="center"/>
    </xf>
    <xf numFmtId="166" fontId="23" fillId="0" borderId="0" xfId="1" applyNumberFormat="1" applyFont="1" applyFill="1" applyAlignment="1">
      <alignment horizontal="center"/>
    </xf>
    <xf numFmtId="0" fontId="26" fillId="0" borderId="0" xfId="0" applyFont="1" applyAlignment="1">
      <alignment horizontal="right"/>
    </xf>
    <xf numFmtId="10" fontId="23" fillId="0" borderId="0" xfId="2" applyNumberFormat="1" applyFont="1" applyFill="1" applyAlignment="1">
      <alignment horizontal="center" vertical="center"/>
    </xf>
    <xf numFmtId="10" fontId="23" fillId="0" borderId="0" xfId="2" applyNumberFormat="1" applyFont="1" applyFill="1" applyBorder="1" applyAlignment="1">
      <alignment horizontal="center" vertical="center"/>
    </xf>
    <xf numFmtId="10" fontId="24" fillId="0" borderId="0" xfId="2" applyNumberFormat="1" applyFont="1" applyAlignment="1">
      <alignment horizontal="right" vertical="center"/>
    </xf>
    <xf numFmtId="10" fontId="24" fillId="0" borderId="0" xfId="2" applyNumberFormat="1" applyFont="1" applyFill="1" applyAlignment="1">
      <alignment horizontal="center" vertical="center"/>
    </xf>
    <xf numFmtId="10" fontId="24" fillId="0" borderId="0" xfId="2" applyNumberFormat="1" applyFont="1" applyFill="1" applyAlignment="1">
      <alignment horizontal="right"/>
    </xf>
    <xf numFmtId="10" fontId="23" fillId="0" borderId="0" xfId="2" applyNumberFormat="1" applyFont="1" applyFill="1" applyAlignment="1">
      <alignment horizontal="right"/>
    </xf>
    <xf numFmtId="10" fontId="23" fillId="0" borderId="0" xfId="2" applyNumberFormat="1" applyFont="1" applyFill="1" applyAlignment="1">
      <alignment horizontal="center"/>
    </xf>
    <xf numFmtId="10" fontId="23" fillId="0" borderId="0" xfId="2" applyNumberFormat="1" applyFont="1" applyFill="1"/>
    <xf numFmtId="0" fontId="21" fillId="3" borderId="20" xfId="0" applyFont="1" applyFill="1" applyBorder="1" applyAlignment="1">
      <alignment horizontal="center"/>
    </xf>
    <xf numFmtId="0" fontId="21" fillId="3" borderId="22" xfId="0" applyFont="1" applyFill="1" applyBorder="1" applyAlignment="1">
      <alignment horizontal="center"/>
    </xf>
    <xf numFmtId="2" fontId="40" fillId="0" borderId="0" xfId="0" applyNumberFormat="1" applyFont="1" applyAlignment="1">
      <alignment horizontal="center"/>
    </xf>
    <xf numFmtId="164" fontId="40" fillId="0" borderId="0" xfId="1" applyNumberFormat="1" applyFont="1" applyAlignment="1"/>
    <xf numFmtId="2" fontId="24" fillId="0" borderId="0" xfId="0" applyNumberFormat="1" applyFont="1" applyAlignment="1">
      <alignment horizontal="center"/>
    </xf>
    <xf numFmtId="0" fontId="36" fillId="0" borderId="0" xfId="0" applyFont="1"/>
    <xf numFmtId="43" fontId="26" fillId="0" borderId="0" xfId="1" applyFont="1" applyFill="1"/>
    <xf numFmtId="2" fontId="40" fillId="0" borderId="4" xfId="0" applyNumberFormat="1" applyFont="1" applyBorder="1" applyAlignment="1">
      <alignment horizontal="center"/>
    </xf>
    <xf numFmtId="10" fontId="24" fillId="0" borderId="0" xfId="2" applyNumberFormat="1" applyFont="1" applyFill="1" applyAlignment="1">
      <alignment horizontal="center"/>
    </xf>
    <xf numFmtId="0" fontId="21" fillId="0" borderId="2" xfId="0" applyFont="1" applyBorder="1" applyAlignment="1">
      <alignment horizontal="center"/>
    </xf>
    <xf numFmtId="0" fontId="33" fillId="0" borderId="17" xfId="0" applyFont="1" applyBorder="1" applyAlignment="1">
      <alignment horizontal="center"/>
    </xf>
    <xf numFmtId="0" fontId="26" fillId="0" borderId="0" xfId="0" applyFont="1" applyAlignment="1">
      <alignment horizontal="center" vertical="center"/>
    </xf>
    <xf numFmtId="2" fontId="23" fillId="0" borderId="0" xfId="0" applyNumberFormat="1" applyFont="1" applyAlignment="1">
      <alignment horizontal="center"/>
    </xf>
    <xf numFmtId="0" fontId="21" fillId="0" borderId="4" xfId="0" applyFont="1" applyBorder="1"/>
    <xf numFmtId="2" fontId="23" fillId="0" borderId="0" xfId="0" applyNumberFormat="1" applyFont="1" applyAlignment="1">
      <alignment horizontal="right"/>
    </xf>
    <xf numFmtId="10" fontId="23" fillId="0" borderId="0" xfId="0" applyNumberFormat="1" applyFont="1"/>
    <xf numFmtId="0" fontId="41" fillId="0" borderId="0" xfId="0" applyFont="1" applyAlignment="1">
      <alignment horizontal="center"/>
    </xf>
    <xf numFmtId="0" fontId="42" fillId="0" borderId="0" xfId="0" applyFont="1"/>
    <xf numFmtId="0" fontId="43" fillId="0" borderId="17" xfId="0" applyFont="1" applyBorder="1" applyAlignment="1">
      <alignment horizontal="center"/>
    </xf>
    <xf numFmtId="0" fontId="38" fillId="0" borderId="0" xfId="0" applyFont="1" applyAlignment="1">
      <alignment horizontal="right"/>
    </xf>
    <xf numFmtId="0" fontId="30" fillId="0" borderId="0" xfId="0" applyFont="1" applyAlignment="1">
      <alignment horizontal="center"/>
    </xf>
    <xf numFmtId="0" fontId="23" fillId="0" borderId="24" xfId="0" applyFont="1" applyBorder="1" applyAlignment="1">
      <alignment horizontal="center"/>
    </xf>
    <xf numFmtId="0" fontId="23" fillId="0" borderId="10" xfId="0" applyFont="1" applyBorder="1" applyAlignment="1">
      <alignment horizontal="center"/>
    </xf>
    <xf numFmtId="0" fontId="23" fillId="0" borderId="3" xfId="0" applyFont="1" applyBorder="1" applyAlignment="1">
      <alignment horizontal="center"/>
    </xf>
    <xf numFmtId="0" fontId="44" fillId="0" borderId="0" xfId="0" applyFont="1"/>
    <xf numFmtId="10" fontId="23" fillId="0" borderId="0" xfId="2" applyNumberFormat="1" applyFont="1"/>
    <xf numFmtId="10" fontId="23" fillId="0" borderId="0" xfId="1" applyNumberFormat="1" applyFont="1" applyFill="1"/>
    <xf numFmtId="10" fontId="46" fillId="0" borderId="0" xfId="2" applyNumberFormat="1" applyFont="1" applyFill="1" applyAlignment="1">
      <alignment horizontal="center"/>
    </xf>
    <xf numFmtId="164" fontId="23" fillId="0" borderId="0" xfId="1" applyNumberFormat="1" applyFont="1"/>
    <xf numFmtId="0" fontId="21" fillId="0" borderId="0" xfId="0" applyFont="1" applyAlignment="1">
      <alignment horizontal="left"/>
    </xf>
    <xf numFmtId="0" fontId="23" fillId="0" borderId="2" xfId="0" applyFont="1" applyBorder="1"/>
    <xf numFmtId="0" fontId="36" fillId="0" borderId="7" xfId="0" applyFont="1" applyBorder="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5" fontId="36" fillId="0" borderId="10" xfId="0" applyNumberFormat="1" applyFont="1" applyBorder="1" applyAlignment="1">
      <alignment horizontal="center"/>
    </xf>
    <xf numFmtId="15" fontId="36" fillId="0" borderId="0" xfId="0" applyNumberFormat="1" applyFont="1" applyAlignment="1">
      <alignment horizontal="center"/>
    </xf>
    <xf numFmtId="15" fontId="36" fillId="0" borderId="10" xfId="0" quotePrefix="1" applyNumberFormat="1" applyFont="1" applyBorder="1" applyAlignment="1">
      <alignment horizontal="center"/>
    </xf>
    <xf numFmtId="15" fontId="36" fillId="0" borderId="0" xfId="0" quotePrefix="1" applyNumberFormat="1" applyFont="1" applyAlignment="1">
      <alignment horizontal="center"/>
    </xf>
    <xf numFmtId="0" fontId="24" fillId="0" borderId="10" xfId="0" applyFont="1" applyBorder="1" applyAlignment="1">
      <alignment horizontal="center"/>
    </xf>
    <xf numFmtId="0" fontId="40" fillId="0" borderId="10" xfId="0" applyFont="1" applyBorder="1" applyAlignment="1">
      <alignment horizontal="center"/>
    </xf>
    <xf numFmtId="0" fontId="36" fillId="0" borderId="8" xfId="0" applyFont="1" applyBorder="1" applyAlignment="1">
      <alignment horizontal="center"/>
    </xf>
    <xf numFmtId="0" fontId="36" fillId="0" borderId="3" xfId="0" applyFont="1" applyBorder="1" applyAlignment="1">
      <alignment horizontal="center"/>
    </xf>
    <xf numFmtId="0" fontId="36" fillId="0" borderId="2" xfId="0" applyFont="1" applyBorder="1" applyAlignment="1">
      <alignment horizontal="center"/>
    </xf>
    <xf numFmtId="0" fontId="37" fillId="0" borderId="3" xfId="0" applyFont="1" applyBorder="1" applyAlignment="1">
      <alignment horizontal="center"/>
    </xf>
    <xf numFmtId="0" fontId="37" fillId="0" borderId="2" xfId="0" applyFont="1" applyBorder="1" applyAlignment="1">
      <alignment horizontal="center"/>
    </xf>
    <xf numFmtId="0" fontId="37" fillId="0" borderId="9" xfId="0" applyFont="1" applyBorder="1" applyAlignment="1">
      <alignment horizontal="center"/>
    </xf>
    <xf numFmtId="0" fontId="37" fillId="0" borderId="11" xfId="0" applyFont="1" applyBorder="1" applyAlignment="1">
      <alignment horizontal="center"/>
    </xf>
    <xf numFmtId="0" fontId="36" fillId="0" borderId="10" xfId="0" applyFont="1" applyBorder="1"/>
    <xf numFmtId="0" fontId="36" fillId="0" borderId="7" xfId="0" applyFont="1" applyBorder="1"/>
    <xf numFmtId="0" fontId="40" fillId="0" borderId="0" xfId="0" applyFont="1" applyAlignment="1">
      <alignment horizontal="center"/>
    </xf>
    <xf numFmtId="2" fontId="40" fillId="0" borderId="10" xfId="0" applyNumberFormat="1" applyFont="1" applyBorder="1" applyAlignment="1">
      <alignment horizontal="center"/>
    </xf>
    <xf numFmtId="0" fontId="40" fillId="0" borderId="7" xfId="0" applyFont="1" applyBorder="1"/>
    <xf numFmtId="0" fontId="36" fillId="0" borderId="8" xfId="0" applyFont="1" applyBorder="1"/>
    <xf numFmtId="2" fontId="40" fillId="0" borderId="3" xfId="0" applyNumberFormat="1" applyFont="1" applyBorder="1" applyAlignment="1">
      <alignment horizontal="center"/>
    </xf>
    <xf numFmtId="3" fontId="40" fillId="0" borderId="2" xfId="0" applyNumberFormat="1" applyFont="1" applyBorder="1"/>
    <xf numFmtId="0" fontId="39" fillId="0" borderId="0" xfId="0" applyFont="1"/>
    <xf numFmtId="0" fontId="48" fillId="0" borderId="2" xfId="0" applyFont="1" applyBorder="1"/>
    <xf numFmtId="0" fontId="39" fillId="0" borderId="2" xfId="0" applyFont="1" applyBorder="1"/>
    <xf numFmtId="0" fontId="39" fillId="0" borderId="5" xfId="0" applyFont="1" applyBorder="1"/>
    <xf numFmtId="0" fontId="39" fillId="0" borderId="6" xfId="0" applyFont="1" applyBorder="1"/>
    <xf numFmtId="15" fontId="36" fillId="0" borderId="6" xfId="0" quotePrefix="1" applyNumberFormat="1" applyFont="1" applyBorder="1" applyAlignment="1">
      <alignment horizontal="center"/>
    </xf>
    <xf numFmtId="0" fontId="21" fillId="0" borderId="6" xfId="0" applyFont="1" applyBorder="1"/>
    <xf numFmtId="0" fontId="39" fillId="0" borderId="12" xfId="0" applyFont="1" applyBorder="1"/>
    <xf numFmtId="15" fontId="36" fillId="0" borderId="13" xfId="0" quotePrefix="1" applyNumberFormat="1" applyFont="1" applyBorder="1" applyAlignment="1">
      <alignment horizontal="center"/>
    </xf>
    <xf numFmtId="0" fontId="40" fillId="0" borderId="13" xfId="0" applyFont="1" applyBorder="1" applyAlignment="1">
      <alignment horizontal="center"/>
    </xf>
    <xf numFmtId="0" fontId="36" fillId="0" borderId="14" xfId="0" applyFont="1" applyBorder="1" applyAlignment="1">
      <alignment horizontal="center"/>
    </xf>
    <xf numFmtId="0" fontId="37" fillId="0" borderId="15" xfId="0" applyFont="1" applyBorder="1" applyAlignment="1">
      <alignment horizontal="center"/>
    </xf>
    <xf numFmtId="0" fontId="36" fillId="0" borderId="13" xfId="0" applyFont="1" applyBorder="1"/>
    <xf numFmtId="164" fontId="40" fillId="0" borderId="0" xfId="1" applyNumberFormat="1" applyFont="1" applyFill="1" applyBorder="1"/>
    <xf numFmtId="164" fontId="49" fillId="0" borderId="0" xfId="1" applyNumberFormat="1" applyFont="1" applyFill="1" applyBorder="1"/>
    <xf numFmtId="10" fontId="40" fillId="0" borderId="0" xfId="2" applyNumberFormat="1" applyFont="1" applyFill="1" applyBorder="1"/>
    <xf numFmtId="10" fontId="40" fillId="0" borderId="13" xfId="2" applyNumberFormat="1" applyFont="1" applyFill="1" applyBorder="1"/>
    <xf numFmtId="0" fontId="36" fillId="0" borderId="0" xfId="0" applyFont="1" applyAlignment="1">
      <alignment horizontal="right"/>
    </xf>
    <xf numFmtId="164" fontId="23" fillId="0" borderId="0" xfId="0" applyNumberFormat="1" applyFont="1"/>
    <xf numFmtId="10" fontId="36" fillId="0" borderId="0" xfId="0" applyNumberFormat="1" applyFont="1" applyAlignment="1">
      <alignment horizontal="right"/>
    </xf>
    <xf numFmtId="10" fontId="36" fillId="0" borderId="0" xfId="2" applyNumberFormat="1" applyFont="1" applyFill="1"/>
    <xf numFmtId="10" fontId="36" fillId="0" borderId="0" xfId="2" applyNumberFormat="1" applyFont="1"/>
    <xf numFmtId="2" fontId="21" fillId="0" borderId="0" xfId="0" applyNumberFormat="1" applyFont="1"/>
    <xf numFmtId="0" fontId="23" fillId="0" borderId="1" xfId="0" applyFont="1" applyBorder="1" applyAlignment="1">
      <alignment horizontal="center"/>
    </xf>
    <xf numFmtId="0" fontId="30" fillId="0" borderId="0" xfId="0" applyFont="1" applyAlignment="1">
      <alignment horizontal="right"/>
    </xf>
    <xf numFmtId="0" fontId="24" fillId="0" borderId="0" xfId="0" applyFont="1"/>
    <xf numFmtId="0" fontId="22" fillId="0" borderId="0" xfId="0" applyFont="1"/>
    <xf numFmtId="0" fontId="22" fillId="0" borderId="0" xfId="0" applyFont="1" applyAlignment="1">
      <alignment horizontal="left"/>
    </xf>
    <xf numFmtId="0" fontId="51" fillId="0" borderId="0" xfId="6" applyFont="1" applyFill="1" applyAlignment="1" applyProtection="1">
      <alignment horizontal="left" vertical="top"/>
    </xf>
    <xf numFmtId="0" fontId="22" fillId="0" borderId="0" xfId="0" applyFont="1" applyAlignment="1">
      <alignment horizontal="left" vertical="top"/>
    </xf>
    <xf numFmtId="0" fontId="51" fillId="0" borderId="0" xfId="6" applyFont="1" applyFill="1" applyAlignment="1" applyProtection="1"/>
    <xf numFmtId="0" fontId="22" fillId="0" borderId="0" xfId="0" applyFont="1" applyAlignment="1">
      <alignment vertical="top"/>
    </xf>
    <xf numFmtId="0" fontId="52" fillId="0" borderId="0" xfId="0" applyFont="1" applyAlignment="1">
      <alignment horizontal="left" vertical="top"/>
    </xf>
    <xf numFmtId="0" fontId="52" fillId="0" borderId="0" xfId="0" applyFont="1"/>
    <xf numFmtId="165" fontId="23" fillId="0" borderId="0" xfId="3" applyNumberFormat="1" applyFont="1" applyFill="1" applyAlignment="1">
      <alignment horizontal="center"/>
    </xf>
    <xf numFmtId="164" fontId="24" fillId="0" borderId="0" xfId="1" applyNumberFormat="1" applyFont="1" applyFill="1"/>
    <xf numFmtId="10" fontId="24" fillId="0" borderId="0" xfId="2" applyNumberFormat="1" applyFont="1" applyFill="1"/>
    <xf numFmtId="0" fontId="30" fillId="0" borderId="2" xfId="0" applyFont="1" applyBorder="1" applyAlignment="1">
      <alignment horizontal="center"/>
    </xf>
    <xf numFmtId="10" fontId="40" fillId="0" borderId="0" xfId="2" applyNumberFormat="1" applyFont="1" applyFill="1" applyAlignment="1">
      <alignment horizontal="center"/>
    </xf>
    <xf numFmtId="10" fontId="40" fillId="0" borderId="0" xfId="2" applyNumberFormat="1" applyFont="1" applyFill="1"/>
    <xf numFmtId="2" fontId="53" fillId="0" borderId="0" xfId="0" applyNumberFormat="1" applyFont="1" applyAlignment="1">
      <alignment horizontal="center"/>
    </xf>
    <xf numFmtId="2" fontId="36" fillId="0" borderId="2" xfId="0" applyNumberFormat="1" applyFont="1" applyBorder="1" applyAlignment="1">
      <alignment horizontal="center"/>
    </xf>
    <xf numFmtId="10" fontId="36" fillId="0" borderId="2" xfId="2" applyNumberFormat="1" applyFont="1" applyBorder="1"/>
    <xf numFmtId="10" fontId="36" fillId="0" borderId="0" xfId="0" applyNumberFormat="1" applyFont="1" applyAlignment="1">
      <alignment horizontal="center"/>
    </xf>
    <xf numFmtId="2" fontId="36" fillId="0" borderId="0" xfId="0" applyNumberFormat="1" applyFont="1" applyAlignment="1">
      <alignment horizontal="center"/>
    </xf>
    <xf numFmtId="0" fontId="40" fillId="0" borderId="0" xfId="0" applyFont="1"/>
    <xf numFmtId="0" fontId="36" fillId="0" borderId="0" xfId="0" applyFont="1" applyAlignment="1">
      <alignment horizontal="left"/>
    </xf>
    <xf numFmtId="10" fontId="24" fillId="0" borderId="4" xfId="2" applyNumberFormat="1" applyFont="1" applyFill="1" applyBorder="1" applyAlignment="1">
      <alignment horizontal="center"/>
    </xf>
    <xf numFmtId="10" fontId="21" fillId="0" borderId="0" xfId="0" applyNumberFormat="1" applyFont="1"/>
    <xf numFmtId="0" fontId="20" fillId="0" borderId="0" xfId="6"/>
    <xf numFmtId="0" fontId="23" fillId="0" borderId="0" xfId="0" applyFont="1" applyAlignment="1">
      <alignment horizontal="left"/>
    </xf>
    <xf numFmtId="0" fontId="54" fillId="0" borderId="2" xfId="0" applyFont="1" applyBorder="1"/>
    <xf numFmtId="0" fontId="0" fillId="0" borderId="2" xfId="0" applyBorder="1"/>
    <xf numFmtId="0" fontId="30" fillId="0" borderId="2" xfId="0" applyFont="1" applyBorder="1"/>
    <xf numFmtId="0" fontId="21" fillId="0" borderId="5" xfId="0" applyFont="1" applyBorder="1"/>
    <xf numFmtId="0" fontId="21" fillId="0" borderId="12" xfId="0" applyFont="1" applyBorder="1"/>
    <xf numFmtId="0" fontId="23" fillId="0" borderId="8" xfId="0" applyFont="1" applyBorder="1" applyAlignment="1">
      <alignment horizontal="center" vertical="center"/>
    </xf>
    <xf numFmtId="0" fontId="30" fillId="0" borderId="34" xfId="0" applyFont="1" applyBorder="1" applyAlignment="1">
      <alignment horizontal="center" vertical="center" wrapText="1"/>
    </xf>
    <xf numFmtId="0" fontId="30" fillId="0" borderId="16" xfId="0" applyFont="1" applyBorder="1" applyAlignment="1">
      <alignment horizontal="center" vertical="center"/>
    </xf>
    <xf numFmtId="0" fontId="30" fillId="0" borderId="16" xfId="0" applyFont="1" applyBorder="1" applyAlignment="1">
      <alignment horizontal="center" vertical="center" wrapText="1"/>
    </xf>
    <xf numFmtId="0" fontId="30" fillId="0" borderId="32" xfId="0" applyFont="1" applyBorder="1" applyAlignment="1">
      <alignment horizontal="center" vertical="center"/>
    </xf>
    <xf numFmtId="0" fontId="36" fillId="0" borderId="16" xfId="0" applyFont="1" applyBorder="1" applyAlignment="1">
      <alignment horizontal="center" vertical="center"/>
    </xf>
    <xf numFmtId="0" fontId="56" fillId="0" borderId="0" xfId="0" applyFont="1"/>
    <xf numFmtId="0" fontId="30" fillId="0" borderId="7" xfId="0" applyFont="1" applyBorder="1" applyAlignment="1">
      <alignment horizontal="center" vertical="center"/>
    </xf>
    <xf numFmtId="10" fontId="30" fillId="0" borderId="2" xfId="2" applyNumberFormat="1" applyFont="1" applyBorder="1" applyAlignment="1">
      <alignment horizontal="center" vertical="center"/>
    </xf>
    <xf numFmtId="0" fontId="36" fillId="0" borderId="2" xfId="0" applyFont="1" applyBorder="1" applyAlignment="1">
      <alignment horizontal="center" vertical="center"/>
    </xf>
    <xf numFmtId="0" fontId="54" fillId="0" borderId="33" xfId="0" applyFont="1" applyBorder="1"/>
    <xf numFmtId="0" fontId="21" fillId="0" borderId="27" xfId="0" applyFont="1" applyBorder="1"/>
    <xf numFmtId="0" fontId="21" fillId="0" borderId="26" xfId="0" applyFont="1" applyBorder="1"/>
    <xf numFmtId="0" fontId="36" fillId="0" borderId="29" xfId="0" applyFont="1" applyBorder="1"/>
    <xf numFmtId="0" fontId="36" fillId="0" borderId="31" xfId="0" applyFont="1" applyBorder="1"/>
    <xf numFmtId="10" fontId="40" fillId="0" borderId="25" xfId="2" applyNumberFormat="1" applyFont="1" applyFill="1" applyBorder="1" applyAlignment="1">
      <alignment horizontal="center"/>
    </xf>
    <xf numFmtId="0" fontId="36" fillId="0" borderId="20" xfId="0" applyFont="1" applyBorder="1"/>
    <xf numFmtId="10" fontId="40" fillId="0" borderId="26" xfId="2" applyNumberFormat="1" applyFont="1" applyFill="1" applyBorder="1" applyAlignment="1">
      <alignment horizontal="center"/>
    </xf>
    <xf numFmtId="0" fontId="36" fillId="0" borderId="22" xfId="0" applyFont="1" applyBorder="1"/>
    <xf numFmtId="0" fontId="36" fillId="0" borderId="1" xfId="0" applyFont="1" applyBorder="1"/>
    <xf numFmtId="10" fontId="40" fillId="0" borderId="27" xfId="2" applyNumberFormat="1" applyFont="1" applyFill="1" applyBorder="1" applyAlignment="1">
      <alignment horizontal="center"/>
    </xf>
    <xf numFmtId="10" fontId="40" fillId="0" borderId="26" xfId="2" applyNumberFormat="1" applyFont="1" applyBorder="1" applyAlignment="1">
      <alignment horizontal="center" vertical="center"/>
    </xf>
    <xf numFmtId="10" fontId="36" fillId="0" borderId="25" xfId="2" applyNumberFormat="1" applyFont="1" applyFill="1" applyBorder="1" applyAlignment="1">
      <alignment horizontal="center"/>
    </xf>
    <xf numFmtId="10" fontId="36" fillId="0" borderId="27" xfId="2" applyNumberFormat="1" applyFont="1" applyFill="1" applyBorder="1" applyAlignment="1">
      <alignment horizontal="center"/>
    </xf>
    <xf numFmtId="10" fontId="40" fillId="0" borderId="0" xfId="2" applyNumberFormat="1" applyFont="1" applyAlignment="1">
      <alignment horizontal="right" vertical="center"/>
    </xf>
    <xf numFmtId="10" fontId="36" fillId="0" borderId="0" xfId="2" applyNumberFormat="1" applyFont="1" applyFill="1" applyAlignment="1">
      <alignment horizontal="right"/>
    </xf>
    <xf numFmtId="43" fontId="36" fillId="0" borderId="0" xfId="1" applyFont="1" applyFill="1" applyAlignment="1">
      <alignment horizontal="right"/>
    </xf>
    <xf numFmtId="43" fontId="36" fillId="0" borderId="0" xfId="1" applyFont="1" applyFill="1"/>
    <xf numFmtId="0" fontId="36" fillId="0" borderId="0" xfId="0" applyFont="1" applyAlignment="1">
      <alignment horizontal="center" vertical="center"/>
    </xf>
    <xf numFmtId="0" fontId="24" fillId="0" borderId="25" xfId="0" applyFont="1" applyBorder="1" applyAlignment="1">
      <alignment horizontal="center"/>
    </xf>
    <xf numFmtId="0" fontId="24" fillId="0" borderId="27" xfId="0" applyFont="1" applyBorder="1" applyAlignment="1">
      <alignment horizontal="center"/>
    </xf>
    <xf numFmtId="44" fontId="40" fillId="0" borderId="0" xfId="3" applyFont="1" applyAlignment="1">
      <alignment horizontal="center"/>
    </xf>
    <xf numFmtId="165" fontId="23" fillId="0" borderId="0" xfId="0" applyNumberFormat="1" applyFont="1" applyAlignment="1">
      <alignment horizontal="center"/>
    </xf>
    <xf numFmtId="0" fontId="31" fillId="0" borderId="0" xfId="0" applyFont="1"/>
    <xf numFmtId="0" fontId="35" fillId="0" borderId="0" xfId="0" applyFont="1"/>
    <xf numFmtId="0" fontId="23" fillId="0" borderId="0" xfId="0" applyFont="1" applyAlignment="1">
      <alignment horizontal="right" vertical="center"/>
    </xf>
    <xf numFmtId="0" fontId="47" fillId="0" borderId="0" xfId="0" applyFont="1"/>
    <xf numFmtId="0" fontId="0" fillId="0" borderId="34" xfId="0" applyBorder="1"/>
    <xf numFmtId="10" fontId="40" fillId="0" borderId="16" xfId="2" applyNumberFormat="1" applyFont="1" applyFill="1" applyBorder="1"/>
    <xf numFmtId="0" fontId="21" fillId="0" borderId="32" xfId="0" applyFont="1" applyBorder="1"/>
    <xf numFmtId="0" fontId="26" fillId="0" borderId="34" xfId="0" applyFont="1" applyBorder="1" applyAlignment="1">
      <alignment horizontal="right"/>
    </xf>
    <xf numFmtId="0" fontId="25" fillId="0" borderId="32" xfId="0" applyFont="1" applyBorder="1"/>
    <xf numFmtId="0" fontId="25" fillId="0" borderId="34" xfId="0" applyFont="1" applyBorder="1" applyAlignment="1">
      <alignment horizontal="right"/>
    </xf>
    <xf numFmtId="0" fontId="25" fillId="0" borderId="34" xfId="0" applyFont="1" applyBorder="1"/>
    <xf numFmtId="0" fontId="21" fillId="0" borderId="34" xfId="0" applyFont="1" applyBorder="1"/>
    <xf numFmtId="0" fontId="36" fillId="0" borderId="7" xfId="0" applyFont="1" applyBorder="1" applyAlignment="1">
      <alignment horizontal="center" vertical="center"/>
    </xf>
    <xf numFmtId="10" fontId="36" fillId="0" borderId="0" xfId="2" applyNumberFormat="1" applyFont="1" applyBorder="1" applyAlignment="1">
      <alignment horizontal="center" vertical="center"/>
    </xf>
    <xf numFmtId="10" fontId="36" fillId="0" borderId="13" xfId="2" applyNumberFormat="1" applyFont="1" applyBorder="1" applyAlignment="1">
      <alignment horizontal="center" vertical="center"/>
    </xf>
    <xf numFmtId="0" fontId="39" fillId="0" borderId="7" xfId="0" applyFont="1" applyBorder="1"/>
    <xf numFmtId="0" fontId="39" fillId="0" borderId="13" xfId="0" applyFont="1" applyBorder="1"/>
    <xf numFmtId="0" fontId="26" fillId="0" borderId="16" xfId="0" applyFont="1" applyBorder="1" applyAlignment="1">
      <alignment horizontal="center" vertical="center"/>
    </xf>
    <xf numFmtId="0" fontId="58" fillId="0" borderId="0" xfId="0" applyFont="1"/>
    <xf numFmtId="0" fontId="29" fillId="0" borderId="0" xfId="0" applyFont="1" applyAlignment="1">
      <alignment horizontal="center"/>
    </xf>
    <xf numFmtId="0" fontId="26" fillId="0" borderId="16" xfId="0" applyFont="1" applyBorder="1" applyAlignment="1">
      <alignment horizontal="right"/>
    </xf>
    <xf numFmtId="2" fontId="36" fillId="0" borderId="16" xfId="0" applyNumberFormat="1" applyFont="1" applyBorder="1" applyAlignment="1">
      <alignment horizontal="center"/>
    </xf>
    <xf numFmtId="43" fontId="36" fillId="0" borderId="0" xfId="1" applyFont="1" applyBorder="1" applyAlignment="1">
      <alignment horizontal="center" vertical="center"/>
    </xf>
    <xf numFmtId="43" fontId="36" fillId="0" borderId="0" xfId="1" applyFont="1" applyBorder="1" applyAlignment="1">
      <alignment vertical="center"/>
    </xf>
    <xf numFmtId="10" fontId="36" fillId="0" borderId="0" xfId="2" applyNumberFormat="1" applyFont="1" applyBorder="1" applyAlignment="1">
      <alignment vertical="center"/>
    </xf>
    <xf numFmtId="10" fontId="0" fillId="0" borderId="0" xfId="2" applyNumberFormat="1" applyFont="1"/>
    <xf numFmtId="10" fontId="36" fillId="0" borderId="0" xfId="2" applyNumberFormat="1" applyFont="1" applyFill="1" applyBorder="1" applyAlignment="1">
      <alignment horizontal="center" vertical="center"/>
    </xf>
    <xf numFmtId="0" fontId="36" fillId="0" borderId="30" xfId="0" applyFont="1" applyBorder="1"/>
    <xf numFmtId="0" fontId="36" fillId="0" borderId="21" xfId="0" applyFont="1" applyBorder="1"/>
    <xf numFmtId="0" fontId="36" fillId="0" borderId="23" xfId="0" applyFont="1" applyBorder="1"/>
    <xf numFmtId="10" fontId="40" fillId="3" borderId="26" xfId="2" applyNumberFormat="1" applyFont="1" applyFill="1" applyBorder="1" applyAlignment="1">
      <alignment horizontal="center"/>
    </xf>
    <xf numFmtId="0" fontId="21" fillId="0" borderId="24" xfId="0" applyFont="1" applyBorder="1"/>
    <xf numFmtId="10" fontId="30" fillId="0" borderId="3" xfId="2" applyNumberFormat="1" applyFont="1" applyBorder="1" applyAlignment="1">
      <alignment horizontal="center" vertical="center"/>
    </xf>
    <xf numFmtId="10" fontId="25" fillId="0" borderId="0" xfId="2" applyNumberFormat="1" applyFont="1" applyAlignment="1">
      <alignment horizontal="center"/>
    </xf>
    <xf numFmtId="0" fontId="59" fillId="0" borderId="0" xfId="0" applyFont="1"/>
    <xf numFmtId="0" fontId="33" fillId="0" borderId="0" xfId="0" applyFont="1"/>
    <xf numFmtId="164" fontId="23" fillId="0" borderId="0" xfId="1" applyNumberFormat="1" applyFont="1" applyFill="1" applyAlignment="1">
      <alignment horizontal="center"/>
    </xf>
    <xf numFmtId="164" fontId="23" fillId="0" borderId="0" xfId="1" applyNumberFormat="1" applyFont="1" applyFill="1" applyAlignment="1"/>
    <xf numFmtId="2" fontId="26" fillId="0" borderId="16" xfId="0" applyNumberFormat="1" applyFont="1" applyBorder="1" applyAlignment="1">
      <alignment horizontal="center" vertical="center"/>
    </xf>
    <xf numFmtId="10" fontId="26" fillId="0" borderId="16" xfId="2" applyNumberFormat="1" applyFont="1" applyBorder="1" applyAlignment="1">
      <alignment horizontal="center" vertical="center"/>
    </xf>
    <xf numFmtId="10" fontId="40" fillId="0" borderId="27" xfId="2" applyNumberFormat="1" applyFont="1" applyBorder="1" applyAlignment="1">
      <alignment horizontal="center" vertical="center"/>
    </xf>
    <xf numFmtId="0" fontId="23" fillId="0" borderId="0" xfId="0" applyFont="1" applyAlignment="1">
      <alignment horizontal="center" vertical="center"/>
    </xf>
    <xf numFmtId="10" fontId="30" fillId="0" borderId="0" xfId="2" applyNumberFormat="1" applyFont="1" applyBorder="1" applyAlignment="1">
      <alignment horizontal="center" vertical="center"/>
    </xf>
    <xf numFmtId="0" fontId="30" fillId="0" borderId="8" xfId="0" applyFont="1" applyBorder="1" applyAlignment="1">
      <alignment horizontal="right" vertical="center"/>
    </xf>
    <xf numFmtId="0" fontId="32" fillId="0" borderId="17" xfId="0" applyFont="1" applyBorder="1" applyAlignment="1">
      <alignment horizontal="center"/>
    </xf>
    <xf numFmtId="10" fontId="23" fillId="0" borderId="0" xfId="0" applyNumberFormat="1" applyFont="1" applyAlignment="1">
      <alignment horizontal="center"/>
    </xf>
    <xf numFmtId="0" fontId="23" fillId="0" borderId="2" xfId="0" quotePrefix="1" applyFont="1" applyBorder="1" applyAlignment="1">
      <alignment horizontal="center"/>
    </xf>
    <xf numFmtId="0" fontId="6" fillId="0" borderId="0" xfId="0" applyFont="1"/>
    <xf numFmtId="0" fontId="60" fillId="0" borderId="0" xfId="0" applyFont="1" applyAlignment="1">
      <alignment horizontal="center"/>
    </xf>
    <xf numFmtId="0" fontId="39" fillId="0" borderId="0" xfId="0" applyFont="1" applyAlignment="1">
      <alignment horizontal="left"/>
    </xf>
    <xf numFmtId="0" fontId="57" fillId="0" borderId="0" xfId="0" applyFont="1" applyAlignment="1">
      <alignment horizontal="left"/>
    </xf>
    <xf numFmtId="0" fontId="61" fillId="0" borderId="0" xfId="0" applyFont="1"/>
    <xf numFmtId="0" fontId="39" fillId="0" borderId="0" xfId="0" applyFont="1" applyAlignment="1">
      <alignment horizontal="right"/>
    </xf>
    <xf numFmtId="0" fontId="39" fillId="0" borderId="2" xfId="0" applyFont="1" applyBorder="1" applyAlignment="1">
      <alignment horizontal="center"/>
    </xf>
    <xf numFmtId="0" fontId="57" fillId="0" borderId="0" xfId="0" applyFont="1"/>
    <xf numFmtId="10" fontId="30" fillId="0" borderId="10" xfId="2" applyNumberFormat="1" applyFont="1" applyFill="1" applyBorder="1" applyAlignment="1">
      <alignment horizontal="center" vertical="center"/>
    </xf>
    <xf numFmtId="168" fontId="40" fillId="0" borderId="16" xfId="1" applyNumberFormat="1" applyFont="1" applyFill="1" applyBorder="1"/>
    <xf numFmtId="15" fontId="36" fillId="0" borderId="24" xfId="0" applyNumberFormat="1" applyFont="1" applyBorder="1" applyAlignment="1">
      <alignment horizontal="center"/>
    </xf>
    <xf numFmtId="15" fontId="36" fillId="0" borderId="12" xfId="0" applyNumberFormat="1" applyFont="1" applyBorder="1" applyAlignment="1">
      <alignment horizontal="center"/>
    </xf>
    <xf numFmtId="15" fontId="36" fillId="0" borderId="13" xfId="0" applyNumberFormat="1" applyFont="1" applyBorder="1" applyAlignment="1">
      <alignment horizontal="center"/>
    </xf>
    <xf numFmtId="0" fontId="36" fillId="0" borderId="13" xfId="0" applyFont="1" applyBorder="1" applyAlignment="1">
      <alignment horizontal="center"/>
    </xf>
    <xf numFmtId="0" fontId="56" fillId="0" borderId="0" xfId="0" applyFont="1" applyAlignment="1">
      <alignment horizontal="center" vertical="center"/>
    </xf>
    <xf numFmtId="0" fontId="56" fillId="0" borderId="1" xfId="0" applyFont="1" applyBorder="1" applyAlignment="1">
      <alignment horizontal="center" vertical="center"/>
    </xf>
    <xf numFmtId="0" fontId="0" fillId="0" borderId="1" xfId="0" applyBorder="1"/>
    <xf numFmtId="0" fontId="36" fillId="0" borderId="1" xfId="0" applyFont="1" applyBorder="1" applyAlignment="1">
      <alignment horizontal="center"/>
    </xf>
    <xf numFmtId="10" fontId="40" fillId="0" borderId="1" xfId="2" applyNumberFormat="1" applyFont="1" applyFill="1" applyBorder="1" applyAlignment="1">
      <alignment horizontal="center"/>
    </xf>
    <xf numFmtId="43" fontId="40" fillId="0" borderId="1" xfId="1" applyFont="1" applyFill="1" applyBorder="1" applyAlignment="1">
      <alignment horizontal="center"/>
    </xf>
    <xf numFmtId="43" fontId="40" fillId="0" borderId="0" xfId="1" applyFont="1" applyAlignment="1">
      <alignment horizontal="center"/>
    </xf>
    <xf numFmtId="43" fontId="40" fillId="0" borderId="0" xfId="1" applyFont="1" applyFill="1" applyAlignment="1">
      <alignment horizontal="center"/>
    </xf>
    <xf numFmtId="0" fontId="56" fillId="0" borderId="0" xfId="0" applyFont="1" applyAlignment="1">
      <alignment horizontal="right"/>
    </xf>
    <xf numFmtId="2" fontId="56" fillId="0" borderId="0" xfId="0" applyNumberFormat="1" applyFont="1"/>
    <xf numFmtId="0" fontId="36" fillId="0" borderId="5" xfId="0" applyFont="1" applyBorder="1" applyAlignment="1">
      <alignment horizontal="center"/>
    </xf>
    <xf numFmtId="0" fontId="36" fillId="0" borderId="24" xfId="0" applyFont="1" applyBorder="1" applyAlignment="1">
      <alignment horizontal="center"/>
    </xf>
    <xf numFmtId="0" fontId="36" fillId="0" borderId="6" xfId="0" applyFont="1" applyBorder="1" applyAlignment="1">
      <alignment horizontal="center"/>
    </xf>
    <xf numFmtId="164" fontId="40" fillId="0" borderId="10" xfId="1" applyNumberFormat="1" applyFont="1" applyFill="1" applyBorder="1" applyAlignment="1">
      <alignment horizontal="center"/>
    </xf>
    <xf numFmtId="164" fontId="40" fillId="0" borderId="3" xfId="1" applyNumberFormat="1" applyFont="1" applyFill="1" applyBorder="1" applyAlignment="1">
      <alignment horizontal="center"/>
    </xf>
    <xf numFmtId="164" fontId="40" fillId="0" borderId="13" xfId="1" applyNumberFormat="1" applyFont="1" applyFill="1" applyBorder="1" applyAlignment="1">
      <alignment horizontal="center"/>
    </xf>
    <xf numFmtId="169" fontId="23" fillId="0" borderId="26" xfId="0" applyNumberFormat="1" applyFont="1" applyBorder="1" applyAlignment="1">
      <alignment horizontal="center" vertical="center"/>
    </xf>
    <xf numFmtId="0" fontId="24" fillId="0" borderId="0" xfId="0" applyFont="1" applyAlignment="1">
      <alignment horizontal="center"/>
    </xf>
    <xf numFmtId="10" fontId="40" fillId="0" borderId="0" xfId="2" applyNumberFormat="1" applyFont="1" applyFill="1" applyBorder="1" applyAlignment="1">
      <alignment horizontal="center"/>
    </xf>
    <xf numFmtId="10" fontId="40" fillId="0" borderId="0" xfId="2" applyNumberFormat="1" applyFont="1" applyBorder="1" applyAlignment="1">
      <alignment horizontal="center" vertical="center"/>
    </xf>
    <xf numFmtId="10" fontId="30" fillId="0" borderId="3" xfId="2" applyNumberFormat="1" applyFont="1" applyFill="1" applyBorder="1" applyAlignment="1">
      <alignment horizontal="center" vertical="center"/>
    </xf>
    <xf numFmtId="0" fontId="26" fillId="0" borderId="19" xfId="0" applyFont="1" applyBorder="1" applyAlignment="1">
      <alignment horizontal="center" vertical="center"/>
    </xf>
    <xf numFmtId="0" fontId="30" fillId="0" borderId="32" xfId="0" applyFont="1" applyBorder="1"/>
    <xf numFmtId="0" fontId="21" fillId="0" borderId="33" xfId="0" applyFont="1" applyBorder="1"/>
    <xf numFmtId="0" fontId="36" fillId="0" borderId="32" xfId="0" applyFont="1" applyBorder="1"/>
    <xf numFmtId="0" fontId="36" fillId="0" borderId="34" xfId="0" applyFont="1" applyBorder="1"/>
    <xf numFmtId="0" fontId="64" fillId="0" borderId="0" xfId="0" applyFont="1"/>
    <xf numFmtId="0" fontId="36" fillId="4" borderId="20" xfId="0" applyFont="1" applyFill="1" applyBorder="1"/>
    <xf numFmtId="0" fontId="36" fillId="0" borderId="32" xfId="0" applyFont="1" applyBorder="1" applyAlignment="1">
      <alignment horizontal="right"/>
    </xf>
    <xf numFmtId="2" fontId="36" fillId="0" borderId="34" xfId="0" applyNumberFormat="1" applyFont="1" applyBorder="1"/>
    <xf numFmtId="43" fontId="36" fillId="0" borderId="0" xfId="0" applyNumberFormat="1" applyFont="1"/>
    <xf numFmtId="0" fontId="37" fillId="0" borderId="35" xfId="0" applyFont="1" applyBorder="1" applyAlignment="1">
      <alignment horizontal="center"/>
    </xf>
    <xf numFmtId="0" fontId="37" fillId="0" borderId="36" xfId="0" applyFont="1" applyBorder="1" applyAlignment="1">
      <alignment horizontal="center"/>
    </xf>
    <xf numFmtId="0" fontId="37" fillId="0" borderId="37" xfId="0" applyFont="1" applyBorder="1" applyAlignment="1">
      <alignment horizontal="center"/>
    </xf>
    <xf numFmtId="0" fontId="65" fillId="0" borderId="0" xfId="0" applyFont="1" applyAlignment="1">
      <alignment horizontal="left" vertical="top" wrapText="1"/>
    </xf>
    <xf numFmtId="0" fontId="30" fillId="0" borderId="28" xfId="0" applyFont="1" applyBorder="1" applyAlignment="1">
      <alignment horizontal="center"/>
    </xf>
    <xf numFmtId="0" fontId="39" fillId="3" borderId="26" xfId="0" applyFont="1" applyFill="1" applyBorder="1" applyAlignment="1">
      <alignment horizontal="center"/>
    </xf>
    <xf numFmtId="0" fontId="21" fillId="3" borderId="26" xfId="0" applyFont="1" applyFill="1" applyBorder="1" applyAlignment="1">
      <alignment horizontal="center"/>
    </xf>
    <xf numFmtId="0" fontId="39" fillId="3" borderId="27" xfId="0" applyFont="1" applyFill="1" applyBorder="1" applyAlignment="1">
      <alignment horizontal="center"/>
    </xf>
    <xf numFmtId="0" fontId="21" fillId="3" borderId="27" xfId="0" applyFont="1" applyFill="1" applyBorder="1" applyAlignment="1">
      <alignment horizontal="center"/>
    </xf>
    <xf numFmtId="0" fontId="21" fillId="3" borderId="29" xfId="0" applyFont="1" applyFill="1" applyBorder="1" applyAlignment="1">
      <alignment horizontal="center"/>
    </xf>
    <xf numFmtId="0" fontId="39" fillId="3" borderId="25" xfId="0" applyFont="1" applyFill="1" applyBorder="1" applyAlignment="1">
      <alignment horizontal="center"/>
    </xf>
    <xf numFmtId="0" fontId="21" fillId="3" borderId="30" xfId="0" applyFont="1" applyFill="1" applyBorder="1" applyAlignment="1">
      <alignment horizontal="center"/>
    </xf>
    <xf numFmtId="0" fontId="21" fillId="3" borderId="21" xfId="0" applyFont="1" applyFill="1" applyBorder="1" applyAlignment="1">
      <alignment horizontal="center"/>
    </xf>
    <xf numFmtId="0" fontId="21" fillId="3" borderId="23" xfId="0" applyFont="1" applyFill="1" applyBorder="1" applyAlignment="1">
      <alignment horizontal="center"/>
    </xf>
    <xf numFmtId="164" fontId="24" fillId="0" borderId="0" xfId="1" applyNumberFormat="1" applyFont="1" applyFill="1" applyAlignment="1">
      <alignment horizontal="center"/>
    </xf>
    <xf numFmtId="0" fontId="0" fillId="0" borderId="4" xfId="0" applyBorder="1"/>
    <xf numFmtId="0" fontId="0" fillId="0" borderId="33" xfId="0" applyBorder="1"/>
    <xf numFmtId="0" fontId="23" fillId="0" borderId="1" xfId="0" applyFont="1" applyBorder="1" applyAlignment="1">
      <alignment horizontal="right"/>
    </xf>
    <xf numFmtId="164" fontId="24" fillId="0" borderId="1" xfId="1" applyNumberFormat="1" applyFont="1" applyFill="1" applyBorder="1" applyAlignment="1">
      <alignment horizontal="center"/>
    </xf>
    <xf numFmtId="10" fontId="24" fillId="0" borderId="1" xfId="2" applyNumberFormat="1" applyFont="1" applyFill="1" applyBorder="1" applyAlignment="1">
      <alignment horizontal="center" vertical="center"/>
    </xf>
    <xf numFmtId="1" fontId="24" fillId="0" borderId="0" xfId="0" applyNumberFormat="1" applyFont="1" applyAlignment="1">
      <alignment horizontal="center"/>
    </xf>
    <xf numFmtId="0" fontId="36" fillId="0" borderId="4" xfId="0" applyFont="1" applyBorder="1" applyAlignment="1">
      <alignment horizontal="center"/>
    </xf>
    <xf numFmtId="10" fontId="40" fillId="0" borderId="4" xfId="2" applyNumberFormat="1" applyFont="1" applyFill="1" applyBorder="1"/>
    <xf numFmtId="10" fontId="40" fillId="0" borderId="4" xfId="2" applyNumberFormat="1" applyFont="1" applyFill="1" applyBorder="1" applyAlignment="1">
      <alignment horizontal="center"/>
    </xf>
    <xf numFmtId="10" fontId="53" fillId="0" borderId="0" xfId="2" applyNumberFormat="1" applyFont="1" applyFill="1" applyAlignment="1">
      <alignment horizontal="right"/>
    </xf>
    <xf numFmtId="43" fontId="40" fillId="0" borderId="0" xfId="1" applyFont="1" applyFill="1" applyAlignment="1">
      <alignment horizontal="right" vertical="center"/>
    </xf>
    <xf numFmtId="44" fontId="24" fillId="0" borderId="0" xfId="3" applyFont="1" applyFill="1" applyAlignment="1">
      <alignment horizontal="center"/>
    </xf>
    <xf numFmtId="10" fontId="24" fillId="0" borderId="0" xfId="2" applyNumberFormat="1" applyFont="1" applyFill="1" applyAlignment="1">
      <alignment horizontal="right" vertical="center"/>
    </xf>
    <xf numFmtId="10" fontId="24" fillId="0" borderId="1" xfId="2" applyNumberFormat="1" applyFont="1" applyFill="1" applyBorder="1" applyAlignment="1">
      <alignment horizontal="right" vertical="center"/>
    </xf>
    <xf numFmtId="44" fontId="55" fillId="0" borderId="0" xfId="3" applyFont="1" applyFill="1" applyAlignment="1">
      <alignment horizontal="center"/>
    </xf>
    <xf numFmtId="43" fontId="24" fillId="0" borderId="0" xfId="1" applyFont="1" applyFill="1" applyAlignment="1">
      <alignment horizontal="center" vertical="center"/>
    </xf>
    <xf numFmtId="10" fontId="24" fillId="0" borderId="0" xfId="0" applyNumberFormat="1" applyFont="1" applyAlignment="1">
      <alignment horizontal="center"/>
    </xf>
    <xf numFmtId="43" fontId="26" fillId="0" borderId="16" xfId="1" applyFont="1" applyFill="1" applyBorder="1" applyAlignment="1">
      <alignment horizontal="center" vertical="center"/>
    </xf>
    <xf numFmtId="43" fontId="24" fillId="0" borderId="1" xfId="1" applyFont="1" applyFill="1" applyBorder="1" applyAlignment="1">
      <alignment horizontal="right" vertical="center"/>
    </xf>
    <xf numFmtId="2" fontId="40" fillId="0" borderId="2" xfId="0" applyNumberFormat="1" applyFont="1" applyBorder="1" applyAlignment="1">
      <alignment horizontal="center"/>
    </xf>
    <xf numFmtId="3" fontId="40" fillId="0" borderId="10" xfId="0" applyNumberFormat="1" applyFont="1" applyBorder="1"/>
    <xf numFmtId="165" fontId="24" fillId="0" borderId="0" xfId="3" applyNumberFormat="1" applyFont="1" applyFill="1" applyAlignment="1">
      <alignment horizontal="right"/>
    </xf>
    <xf numFmtId="164" fontId="40" fillId="0" borderId="14" xfId="1" applyNumberFormat="1" applyFont="1" applyFill="1" applyBorder="1" applyAlignment="1">
      <alignment horizontal="center"/>
    </xf>
    <xf numFmtId="165" fontId="23" fillId="0" borderId="0" xfId="3" applyNumberFormat="1" applyFont="1" applyAlignment="1">
      <alignment horizontal="center"/>
    </xf>
    <xf numFmtId="3" fontId="40" fillId="0" borderId="3" xfId="0" applyNumberFormat="1" applyFont="1" applyBorder="1"/>
    <xf numFmtId="170" fontId="21" fillId="0" borderId="0" xfId="0" applyNumberFormat="1" applyFont="1"/>
    <xf numFmtId="3" fontId="40" fillId="0" borderId="0" xfId="0" applyNumberFormat="1" applyFont="1"/>
    <xf numFmtId="0" fontId="40" fillId="0" borderId="0" xfId="0" applyFont="1" applyAlignment="1">
      <alignment horizontal="left" vertical="center"/>
    </xf>
    <xf numFmtId="2" fontId="24" fillId="0" borderId="0" xfId="0" applyNumberFormat="1" applyFont="1" applyAlignment="1">
      <alignment horizontal="right" vertical="center"/>
    </xf>
    <xf numFmtId="164" fontId="40" fillId="0" borderId="2" xfId="1" applyNumberFormat="1" applyFont="1" applyFill="1" applyBorder="1"/>
    <xf numFmtId="10" fontId="40" fillId="0" borderId="2" xfId="2" applyNumberFormat="1" applyFont="1" applyFill="1" applyBorder="1"/>
    <xf numFmtId="10" fontId="40" fillId="0" borderId="14" xfId="2" applyNumberFormat="1" applyFont="1" applyFill="1" applyBorder="1"/>
    <xf numFmtId="0" fontId="36" fillId="0" borderId="1" xfId="0" applyFont="1" applyBorder="1" applyAlignment="1">
      <alignment horizontal="right"/>
    </xf>
    <xf numFmtId="10" fontId="36" fillId="0" borderId="1" xfId="2" applyNumberFormat="1" applyFont="1" applyBorder="1"/>
    <xf numFmtId="2" fontId="24" fillId="0" borderId="1" xfId="0" applyNumberFormat="1" applyFont="1" applyBorder="1" applyAlignment="1">
      <alignment horizontal="right" vertical="center"/>
    </xf>
    <xf numFmtId="165" fontId="24" fillId="0" borderId="0" xfId="3" applyNumberFormat="1" applyFont="1" applyFill="1" applyAlignment="1">
      <alignment horizontal="center"/>
    </xf>
    <xf numFmtId="166" fontId="24" fillId="0" borderId="0" xfId="1" applyNumberFormat="1" applyFont="1" applyFill="1" applyAlignment="1">
      <alignment horizontal="center" vertical="center"/>
    </xf>
    <xf numFmtId="10" fontId="30" fillId="0" borderId="0" xfId="2" applyNumberFormat="1" applyFont="1" applyFill="1" applyBorder="1" applyAlignment="1">
      <alignment horizontal="center" vertical="center"/>
    </xf>
    <xf numFmtId="0" fontId="21" fillId="0" borderId="0" xfId="0" applyFont="1" applyAlignment="1">
      <alignment horizontal="right"/>
    </xf>
    <xf numFmtId="0" fontId="21" fillId="0" borderId="21" xfId="0" applyFont="1" applyBorder="1"/>
    <xf numFmtId="169" fontId="23" fillId="0" borderId="21" xfId="0" applyNumberFormat="1" applyFont="1" applyBorder="1" applyAlignment="1">
      <alignment horizontal="center" vertical="center"/>
    </xf>
    <xf numFmtId="0" fontId="21" fillId="0" borderId="23" xfId="0" applyFont="1" applyBorder="1"/>
    <xf numFmtId="10" fontId="30" fillId="0" borderId="0" xfId="2" applyNumberFormat="1" applyFont="1" applyAlignment="1">
      <alignment horizontal="left"/>
    </xf>
    <xf numFmtId="0" fontId="23" fillId="0" borderId="29" xfId="0" applyFont="1" applyBorder="1" applyAlignment="1">
      <alignment horizontal="right"/>
    </xf>
    <xf numFmtId="0" fontId="23" fillId="0" borderId="30" xfId="0" applyFont="1" applyBorder="1" applyAlignment="1">
      <alignment horizontal="left"/>
    </xf>
    <xf numFmtId="10" fontId="25" fillId="0" borderId="0" xfId="2" applyNumberFormat="1" applyFont="1" applyFill="1" applyAlignment="1">
      <alignment horizontal="center"/>
    </xf>
    <xf numFmtId="0" fontId="23" fillId="0" borderId="20" xfId="0" applyFont="1" applyBorder="1" applyAlignment="1">
      <alignment horizontal="right"/>
    </xf>
    <xf numFmtId="0" fontId="23" fillId="0" borderId="21" xfId="0" applyFont="1" applyBorder="1" applyAlignment="1">
      <alignment horizontal="left"/>
    </xf>
    <xf numFmtId="0" fontId="23" fillId="0" borderId="22" xfId="0" applyFont="1" applyBorder="1" applyAlignment="1">
      <alignment horizontal="right"/>
    </xf>
    <xf numFmtId="0" fontId="23" fillId="0" borderId="23" xfId="0" applyFont="1" applyBorder="1" applyAlignment="1">
      <alignment horizontal="left"/>
    </xf>
    <xf numFmtId="0" fontId="66" fillId="0" borderId="0" xfId="0" applyFont="1"/>
    <xf numFmtId="10" fontId="36" fillId="0" borderId="26" xfId="2" applyNumberFormat="1" applyFont="1" applyFill="1" applyBorder="1" applyAlignment="1">
      <alignment horizontal="center"/>
    </xf>
    <xf numFmtId="169" fontId="36" fillId="0" borderId="27" xfId="2" applyNumberFormat="1" applyFont="1" applyFill="1" applyBorder="1" applyAlignment="1">
      <alignment horizontal="center"/>
    </xf>
    <xf numFmtId="169" fontId="30" fillId="0" borderId="16" xfId="2" applyNumberFormat="1" applyFont="1" applyFill="1" applyBorder="1" applyAlignment="1">
      <alignment horizontal="center"/>
    </xf>
    <xf numFmtId="0" fontId="20" fillId="0" borderId="0" xfId="6" applyFill="1" applyAlignment="1" applyProtection="1"/>
    <xf numFmtId="0" fontId="67" fillId="0" borderId="0" xfId="6" applyFont="1" applyFill="1" applyAlignment="1" applyProtection="1"/>
    <xf numFmtId="10" fontId="50" fillId="0" borderId="16" xfId="2" applyNumberFormat="1" applyFont="1" applyFill="1" applyBorder="1" applyAlignment="1">
      <alignment horizontal="center"/>
    </xf>
    <xf numFmtId="0" fontId="24" fillId="0" borderId="0" xfId="1" applyNumberFormat="1" applyFont="1" applyFill="1"/>
    <xf numFmtId="10" fontId="24" fillId="0" borderId="10" xfId="2" applyNumberFormat="1" applyFont="1" applyFill="1" applyBorder="1" applyAlignment="1">
      <alignment horizontal="center"/>
    </xf>
    <xf numFmtId="10" fontId="24" fillId="0" borderId="10" xfId="1" applyNumberFormat="1" applyFont="1" applyFill="1" applyBorder="1" applyAlignment="1">
      <alignment horizontal="center"/>
    </xf>
    <xf numFmtId="0" fontId="38" fillId="0" borderId="28" xfId="0" applyFont="1" applyBorder="1"/>
    <xf numFmtId="10" fontId="38" fillId="0" borderId="28" xfId="2" applyNumberFormat="1" applyFont="1" applyFill="1" applyBorder="1"/>
    <xf numFmtId="2" fontId="38" fillId="0" borderId="28" xfId="0" applyNumberFormat="1" applyFont="1" applyBorder="1"/>
    <xf numFmtId="2" fontId="26" fillId="0" borderId="0" xfId="0" applyNumberFormat="1" applyFont="1" applyAlignment="1">
      <alignment horizontal="center"/>
    </xf>
    <xf numFmtId="10" fontId="26" fillId="0" borderId="0" xfId="2" applyNumberFormat="1" applyFont="1" applyFill="1" applyBorder="1" applyAlignment="1">
      <alignment horizontal="center"/>
    </xf>
    <xf numFmtId="2" fontId="55" fillId="0" borderId="0" xfId="0" applyNumberFormat="1" applyFont="1" applyAlignment="1">
      <alignment horizontal="right"/>
    </xf>
    <xf numFmtId="10" fontId="24" fillId="0" borderId="0" xfId="2" applyNumberFormat="1" applyFont="1" applyAlignment="1">
      <alignment horizontal="right"/>
    </xf>
    <xf numFmtId="10" fontId="24" fillId="0" borderId="4" xfId="2" applyNumberFormat="1" applyFont="1" applyFill="1" applyBorder="1" applyAlignment="1">
      <alignment horizontal="right"/>
    </xf>
    <xf numFmtId="10" fontId="24" fillId="0" borderId="4" xfId="2" applyNumberFormat="1" applyFont="1" applyBorder="1" applyAlignment="1">
      <alignment horizontal="right"/>
    </xf>
    <xf numFmtId="0" fontId="40" fillId="0" borderId="18" xfId="0" applyFont="1" applyBorder="1"/>
    <xf numFmtId="10" fontId="40" fillId="0" borderId="28" xfId="2" applyNumberFormat="1" applyFont="1" applyFill="1" applyBorder="1" applyAlignment="1">
      <alignment horizontal="center"/>
    </xf>
    <xf numFmtId="10" fontId="29" fillId="0" borderId="0" xfId="2" applyNumberFormat="1" applyFont="1" applyFill="1" applyAlignment="1">
      <alignment horizontal="right"/>
    </xf>
    <xf numFmtId="10" fontId="24" fillId="0" borderId="1" xfId="2" applyNumberFormat="1" applyFont="1" applyBorder="1" applyAlignment="1">
      <alignment horizontal="right" vertical="center"/>
    </xf>
    <xf numFmtId="0" fontId="30" fillId="0" borderId="3" xfId="0" applyFont="1" applyBorder="1" applyAlignment="1">
      <alignment horizontal="center"/>
    </xf>
    <xf numFmtId="43" fontId="24" fillId="0" borderId="1" xfId="1" applyFont="1" applyFill="1" applyBorder="1" applyAlignment="1">
      <alignment horizontal="center" vertical="center"/>
    </xf>
    <xf numFmtId="10" fontId="23" fillId="0" borderId="0" xfId="2" applyNumberFormat="1" applyFont="1" applyFill="1" applyAlignment="1">
      <alignment horizontal="right" vertical="center"/>
    </xf>
    <xf numFmtId="10" fontId="23" fillId="0" borderId="0" xfId="2" applyNumberFormat="1" applyFont="1" applyFill="1" applyBorder="1" applyAlignment="1">
      <alignment horizontal="right" vertical="center"/>
    </xf>
    <xf numFmtId="43" fontId="26" fillId="0" borderId="16" xfId="1" applyFont="1" applyFill="1" applyBorder="1" applyAlignment="1">
      <alignment horizontal="center"/>
    </xf>
    <xf numFmtId="0" fontId="36" fillId="4" borderId="38" xfId="0" applyFont="1" applyFill="1" applyBorder="1"/>
    <xf numFmtId="10" fontId="40" fillId="4" borderId="38" xfId="2" applyNumberFormat="1" applyFont="1" applyFill="1" applyBorder="1" applyAlignment="1">
      <alignment horizontal="center"/>
    </xf>
    <xf numFmtId="0" fontId="21" fillId="0" borderId="20" xfId="0" applyFont="1" applyBorder="1"/>
    <xf numFmtId="10" fontId="40" fillId="4" borderId="20" xfId="2" applyNumberFormat="1" applyFont="1" applyFill="1" applyBorder="1" applyAlignment="1">
      <alignment horizontal="center"/>
    </xf>
    <xf numFmtId="10" fontId="21" fillId="0" borderId="20" xfId="2" applyNumberFormat="1" applyFont="1" applyFill="1" applyBorder="1"/>
    <xf numFmtId="10" fontId="21" fillId="0" borderId="20" xfId="0" applyNumberFormat="1" applyFont="1" applyBorder="1"/>
    <xf numFmtId="0" fontId="40" fillId="3" borderId="22" xfId="0" applyFont="1" applyFill="1" applyBorder="1"/>
    <xf numFmtId="10" fontId="40" fillId="3" borderId="27" xfId="2" applyNumberFormat="1" applyFont="1" applyFill="1" applyBorder="1" applyAlignment="1">
      <alignment horizontal="center"/>
    </xf>
    <xf numFmtId="43" fontId="40" fillId="0" borderId="1" xfId="1" applyFont="1" applyFill="1" applyBorder="1" applyAlignment="1">
      <alignment horizontal="right" vertical="center"/>
    </xf>
    <xf numFmtId="0" fontId="30" fillId="0" borderId="25" xfId="0" applyFont="1" applyBorder="1" applyAlignment="1">
      <alignment horizontal="center"/>
    </xf>
    <xf numFmtId="0" fontId="69" fillId="0" borderId="24" xfId="0" applyFont="1" applyBorder="1" applyAlignment="1">
      <alignment horizontal="center" wrapText="1"/>
    </xf>
    <xf numFmtId="10" fontId="24" fillId="0" borderId="24" xfId="2" applyNumberFormat="1" applyFont="1" applyFill="1" applyBorder="1" applyAlignment="1">
      <alignment horizontal="center"/>
    </xf>
    <xf numFmtId="10" fontId="24" fillId="0" borderId="3" xfId="2" applyNumberFormat="1" applyFont="1" applyFill="1" applyBorder="1" applyAlignment="1">
      <alignment horizontal="center"/>
    </xf>
    <xf numFmtId="10" fontId="24" fillId="0" borderId="3" xfId="1" applyNumberFormat="1" applyFont="1" applyFill="1" applyBorder="1" applyAlignment="1">
      <alignment horizontal="center"/>
    </xf>
    <xf numFmtId="10" fontId="24" fillId="0" borderId="24" xfId="1" applyNumberFormat="1" applyFont="1" applyFill="1" applyBorder="1" applyAlignment="1">
      <alignment horizontal="center"/>
    </xf>
    <xf numFmtId="0" fontId="68" fillId="0" borderId="24" xfId="0" applyFont="1" applyBorder="1"/>
    <xf numFmtId="0" fontId="68" fillId="0" borderId="10" xfId="0" applyFont="1" applyBorder="1"/>
    <xf numFmtId="0" fontId="68" fillId="0" borderId="3" xfId="0" applyFont="1" applyBorder="1"/>
    <xf numFmtId="0" fontId="68" fillId="0" borderId="16" xfId="0" applyFont="1" applyBorder="1"/>
    <xf numFmtId="0" fontId="38" fillId="0" borderId="16" xfId="0" applyFont="1" applyBorder="1" applyAlignment="1">
      <alignment horizontal="center"/>
    </xf>
    <xf numFmtId="0" fontId="21" fillId="0" borderId="8" xfId="0" applyFont="1" applyBorder="1"/>
    <xf numFmtId="0" fontId="21" fillId="0" borderId="14" xfId="0" applyFont="1" applyBorder="1"/>
    <xf numFmtId="0" fontId="0" fillId="0" borderId="8" xfId="0" applyBorder="1"/>
    <xf numFmtId="0" fontId="0" fillId="0" borderId="14" xfId="0" applyBorder="1"/>
    <xf numFmtId="0" fontId="36" fillId="4" borderId="27" xfId="0" applyFont="1" applyFill="1" applyBorder="1"/>
    <xf numFmtId="10" fontId="40" fillId="4" borderId="26" xfId="2" applyNumberFormat="1" applyFont="1" applyFill="1" applyBorder="1" applyAlignment="1">
      <alignment horizontal="center"/>
    </xf>
    <xf numFmtId="10" fontId="40" fillId="4" borderId="27" xfId="2" applyNumberFormat="1" applyFont="1" applyFill="1" applyBorder="1" applyAlignment="1">
      <alignment horizontal="center"/>
    </xf>
    <xf numFmtId="0" fontId="36" fillId="4" borderId="26" xfId="0" applyFont="1" applyFill="1" applyBorder="1"/>
    <xf numFmtId="0" fontId="40" fillId="4" borderId="26" xfId="0" applyFont="1" applyFill="1" applyBorder="1"/>
    <xf numFmtId="0" fontId="40" fillId="3" borderId="26" xfId="0" applyFont="1" applyFill="1" applyBorder="1"/>
    <xf numFmtId="0" fontId="36" fillId="4" borderId="7" xfId="0" applyFont="1" applyFill="1" applyBorder="1" applyAlignment="1">
      <alignment horizontal="left" vertical="center"/>
    </xf>
    <xf numFmtId="10" fontId="45" fillId="0" borderId="0" xfId="2" applyNumberFormat="1" applyFont="1" applyFill="1" applyBorder="1" applyAlignment="1">
      <alignment horizontal="center"/>
    </xf>
    <xf numFmtId="10" fontId="26" fillId="0" borderId="16" xfId="2" applyNumberFormat="1" applyFont="1" applyFill="1" applyBorder="1" applyAlignment="1">
      <alignment horizontal="center" vertical="center"/>
    </xf>
    <xf numFmtId="10" fontId="26" fillId="0" borderId="16" xfId="2" applyNumberFormat="1" applyFont="1" applyFill="1" applyBorder="1" applyAlignment="1">
      <alignment horizontal="center"/>
    </xf>
    <xf numFmtId="0" fontId="39" fillId="3" borderId="0" xfId="0" applyFont="1" applyFill="1" applyAlignment="1">
      <alignment horizontal="center"/>
    </xf>
    <xf numFmtId="0" fontId="21" fillId="3" borderId="39" xfId="0" applyFont="1" applyFill="1" applyBorder="1" applyAlignment="1">
      <alignment horizontal="center"/>
    </xf>
    <xf numFmtId="0" fontId="39" fillId="3" borderId="1" xfId="0" applyFont="1" applyFill="1" applyBorder="1" applyAlignment="1">
      <alignment horizontal="center"/>
    </xf>
    <xf numFmtId="0" fontId="39" fillId="3" borderId="29" xfId="0" applyFont="1" applyFill="1" applyBorder="1" applyAlignment="1">
      <alignment horizontal="center"/>
    </xf>
    <xf numFmtId="0" fontId="39" fillId="3" borderId="20" xfId="0" applyFont="1" applyFill="1" applyBorder="1" applyAlignment="1">
      <alignment horizontal="center"/>
    </xf>
    <xf numFmtId="0" fontId="39" fillId="3" borderId="22" xfId="0" applyFont="1" applyFill="1" applyBorder="1" applyAlignment="1">
      <alignment horizontal="center"/>
    </xf>
    <xf numFmtId="0" fontId="21" fillId="3" borderId="40" xfId="0" applyFont="1" applyFill="1" applyBorder="1" applyAlignment="1">
      <alignment horizontal="center"/>
    </xf>
    <xf numFmtId="0" fontId="21" fillId="3" borderId="41" xfId="0" applyFont="1" applyFill="1" applyBorder="1" applyAlignment="1">
      <alignment horizontal="center"/>
    </xf>
    <xf numFmtId="0" fontId="38" fillId="0" borderId="18" xfId="0" applyFont="1" applyBorder="1"/>
    <xf numFmtId="43" fontId="38" fillId="0" borderId="28" xfId="1" applyFont="1" applyFill="1" applyBorder="1"/>
    <xf numFmtId="2" fontId="26" fillId="0" borderId="16" xfId="0" applyNumberFormat="1" applyFont="1" applyBorder="1" applyAlignment="1">
      <alignment horizontal="center"/>
    </xf>
    <xf numFmtId="10" fontId="25" fillId="0" borderId="16" xfId="2" applyNumberFormat="1" applyFont="1" applyFill="1" applyBorder="1"/>
    <xf numFmtId="10" fontId="25" fillId="0" borderId="16" xfId="2" applyNumberFormat="1" applyFont="1" applyFill="1" applyBorder="1" applyAlignment="1">
      <alignment horizontal="center"/>
    </xf>
    <xf numFmtId="10" fontId="70" fillId="0" borderId="0" xfId="2" applyNumberFormat="1" applyFont="1" applyFill="1" applyAlignment="1">
      <alignment horizontal="center"/>
    </xf>
    <xf numFmtId="169" fontId="36" fillId="0" borderId="25" xfId="2" applyNumberFormat="1" applyFont="1" applyFill="1" applyBorder="1" applyAlignment="1">
      <alignment horizontal="center"/>
    </xf>
    <xf numFmtId="10" fontId="26" fillId="0" borderId="32" xfId="2" applyNumberFormat="1" applyFont="1" applyFill="1" applyBorder="1" applyAlignment="1">
      <alignment horizontal="right"/>
    </xf>
    <xf numFmtId="10" fontId="26" fillId="0" borderId="34" xfId="0" applyNumberFormat="1" applyFont="1" applyBorder="1"/>
    <xf numFmtId="171" fontId="26" fillId="0" borderId="16" xfId="2" applyNumberFormat="1" applyFont="1" applyFill="1" applyBorder="1" applyAlignment="1">
      <alignment horizontal="center"/>
    </xf>
    <xf numFmtId="10" fontId="45" fillId="0" borderId="16" xfId="2" applyNumberFormat="1" applyFont="1" applyFill="1" applyBorder="1" applyAlignment="1">
      <alignment horizontal="center"/>
    </xf>
    <xf numFmtId="0" fontId="0" fillId="0" borderId="20" xfId="0" applyBorder="1"/>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2" fillId="0" borderId="0" xfId="0" applyFont="1" applyAlignment="1">
      <alignment horizontal="left" vertical="top" wrapText="1"/>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400049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57150</xdr:colOff>
      <xdr:row>43</xdr:row>
      <xdr:rowOff>0</xdr:rowOff>
    </xdr:to>
    <xdr:pic>
      <xdr:nvPicPr>
        <xdr:cNvPr id="4" name="Picture 3">
          <a:extLst>
            <a:ext uri="{FF2B5EF4-FFF2-40B4-BE49-F238E27FC236}">
              <a16:creationId xmlns:a16="http://schemas.microsoft.com/office/drawing/2014/main" id="{C5D12A76-D87B-333D-C672-7D35EB374882}"/>
            </a:ext>
          </a:extLst>
        </xdr:cNvPr>
        <xdr:cNvPicPr>
          <a:picLocks noChangeAspect="1"/>
        </xdr:cNvPicPr>
      </xdr:nvPicPr>
      <xdr:blipFill>
        <a:blip xmlns:r="http://schemas.openxmlformats.org/officeDocument/2006/relationships" r:embed="rId1"/>
        <a:stretch>
          <a:fillRect/>
        </a:stretch>
      </xdr:blipFill>
      <xdr:spPr>
        <a:xfrm>
          <a:off x="609600" y="190500"/>
          <a:ext cx="6153150" cy="8001000"/>
        </a:xfrm>
        <a:prstGeom prst="rect">
          <a:avLst/>
        </a:prstGeom>
      </xdr:spPr>
    </xdr:pic>
    <xdr:clientData/>
  </xdr:twoCellAnchor>
  <xdr:twoCellAnchor editAs="oneCell">
    <xdr:from>
      <xdr:col>12</xdr:col>
      <xdr:colOff>0</xdr:colOff>
      <xdr:row>1</xdr:row>
      <xdr:rowOff>0</xdr:rowOff>
    </xdr:from>
    <xdr:to>
      <xdr:col>22</xdr:col>
      <xdr:colOff>19050</xdr:colOff>
      <xdr:row>42</xdr:row>
      <xdr:rowOff>180975</xdr:rowOff>
    </xdr:to>
    <xdr:pic>
      <xdr:nvPicPr>
        <xdr:cNvPr id="5" name="Picture 4">
          <a:extLst>
            <a:ext uri="{FF2B5EF4-FFF2-40B4-BE49-F238E27FC236}">
              <a16:creationId xmlns:a16="http://schemas.microsoft.com/office/drawing/2014/main" id="{728A81AE-35A5-54B7-75A9-521CDE1B2BAE}"/>
            </a:ext>
          </a:extLst>
        </xdr:cNvPr>
        <xdr:cNvPicPr>
          <a:picLocks noChangeAspect="1"/>
        </xdr:cNvPicPr>
      </xdr:nvPicPr>
      <xdr:blipFill>
        <a:blip xmlns:r="http://schemas.openxmlformats.org/officeDocument/2006/relationships" r:embed="rId2"/>
        <a:stretch>
          <a:fillRect/>
        </a:stretch>
      </xdr:blipFill>
      <xdr:spPr>
        <a:xfrm>
          <a:off x="7315200" y="190500"/>
          <a:ext cx="6115050" cy="799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A16" sqref="A16:I16"/>
    </sheetView>
  </sheetViews>
  <sheetFormatPr defaultRowHeight="15"/>
  <cols>
    <col min="9" max="9" width="16.42578125" customWidth="1"/>
  </cols>
  <sheetData>
    <row r="1" spans="1:13" ht="18.75">
      <c r="A1" s="448" t="s">
        <v>0</v>
      </c>
      <c r="B1" s="449"/>
      <c r="C1" s="449"/>
      <c r="D1" s="449"/>
      <c r="E1" s="449"/>
      <c r="F1" s="449"/>
      <c r="G1" s="449"/>
      <c r="H1" s="449"/>
      <c r="I1" s="449"/>
    </row>
    <row r="5" spans="1:13" ht="27">
      <c r="E5" s="450" t="s">
        <v>0</v>
      </c>
      <c r="F5" s="451"/>
      <c r="G5" s="451"/>
      <c r="H5" s="451"/>
      <c r="I5" s="451"/>
      <c r="J5" s="451"/>
      <c r="K5" s="451"/>
      <c r="L5" s="451"/>
      <c r="M5" s="451"/>
    </row>
    <row r="7" spans="1:13" ht="27">
      <c r="A7" s="452" t="s">
        <v>31</v>
      </c>
      <c r="B7" s="453"/>
      <c r="C7" s="453"/>
      <c r="D7" s="453"/>
      <c r="E7" s="453"/>
      <c r="F7" s="453"/>
      <c r="G7" s="453"/>
      <c r="H7" s="453"/>
      <c r="I7" s="453"/>
    </row>
    <row r="8" spans="1:13" ht="27">
      <c r="A8" s="6"/>
      <c r="B8" s="7"/>
      <c r="C8" s="7"/>
      <c r="D8" s="7"/>
      <c r="E8" s="450" t="s">
        <v>0</v>
      </c>
      <c r="F8" s="451"/>
      <c r="G8" s="451"/>
      <c r="H8" s="451"/>
      <c r="I8" s="451"/>
      <c r="J8" s="451"/>
      <c r="K8" s="451"/>
      <c r="L8" s="451"/>
      <c r="M8" s="451"/>
    </row>
    <row r="9" spans="1:13" ht="27">
      <c r="A9" s="450" t="s">
        <v>110</v>
      </c>
      <c r="B9" s="451"/>
      <c r="C9" s="451"/>
      <c r="D9" s="451"/>
      <c r="E9" s="451"/>
      <c r="F9" s="451"/>
      <c r="G9" s="451"/>
      <c r="H9" s="451"/>
      <c r="I9" s="451"/>
    </row>
    <row r="15" spans="1:13">
      <c r="A15" s="445" t="s">
        <v>0</v>
      </c>
      <c r="B15" s="446"/>
      <c r="C15" s="446"/>
      <c r="D15" s="446"/>
      <c r="E15" s="446"/>
      <c r="F15" s="446"/>
      <c r="G15" s="446"/>
      <c r="H15" s="446"/>
      <c r="I15" s="446"/>
    </row>
    <row r="16" spans="1:13" ht="33.75">
      <c r="A16" s="443" t="str">
        <f>+'S&amp;D'!A12</f>
        <v>Electric Utilities</v>
      </c>
      <c r="B16" s="444"/>
      <c r="C16" s="444"/>
      <c r="D16" s="444"/>
      <c r="E16" s="444"/>
      <c r="F16" s="444"/>
      <c r="G16" s="444"/>
      <c r="H16" s="444"/>
      <c r="I16" s="444"/>
    </row>
    <row r="17" spans="1:9">
      <c r="A17" s="445" t="s">
        <v>0</v>
      </c>
      <c r="B17" s="446"/>
      <c r="C17" s="446"/>
      <c r="D17" s="446"/>
      <c r="E17" s="446"/>
      <c r="F17" s="446"/>
      <c r="G17" s="446"/>
      <c r="H17" s="446"/>
      <c r="I17" s="446"/>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45" t="s">
        <v>0</v>
      </c>
      <c r="B29" s="446"/>
      <c r="C29" s="446"/>
      <c r="D29" s="446"/>
      <c r="E29" s="446"/>
      <c r="F29" s="446"/>
      <c r="G29" s="446"/>
      <c r="H29" s="446"/>
      <c r="I29" s="446"/>
    </row>
    <row r="34" spans="1:9">
      <c r="A34" s="447"/>
      <c r="B34" s="447"/>
      <c r="C34" s="447"/>
      <c r="D34" s="447"/>
      <c r="E34" s="447"/>
      <c r="F34" s="447"/>
      <c r="G34" s="447"/>
      <c r="H34" s="447"/>
      <c r="I34" s="447"/>
    </row>
    <row r="35" spans="1:9">
      <c r="A35" s="447"/>
      <c r="B35" s="447"/>
      <c r="C35" s="447"/>
      <c r="D35" s="447"/>
      <c r="E35" s="447"/>
      <c r="F35" s="447"/>
      <c r="G35" s="447"/>
      <c r="H35" s="447"/>
      <c r="I35" s="447"/>
    </row>
    <row r="36" spans="1:9">
      <c r="A36" s="447"/>
      <c r="B36" s="447"/>
      <c r="C36" s="447"/>
      <c r="D36" s="447"/>
      <c r="E36" s="447"/>
      <c r="F36" s="447"/>
      <c r="G36" s="447"/>
      <c r="H36" s="447"/>
      <c r="I36" s="447"/>
    </row>
    <row r="37" spans="1:9">
      <c r="A37" s="447"/>
      <c r="B37" s="447"/>
      <c r="C37" s="447"/>
      <c r="D37" s="447"/>
      <c r="E37" s="447"/>
      <c r="F37" s="447"/>
      <c r="G37" s="447"/>
      <c r="H37" s="447"/>
      <c r="I37" s="447"/>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K43"/>
  <sheetViews>
    <sheetView view="pageBreakPreview" topLeftCell="A6" zoomScale="70" zoomScaleNormal="80" zoomScaleSheetLayoutView="70" workbookViewId="0">
      <selection activeCell="J41" sqref="J41"/>
    </sheetView>
  </sheetViews>
  <sheetFormatPr defaultRowHeight="15"/>
  <cols>
    <col min="1" max="1" width="51.7109375" customWidth="1"/>
    <col min="2" max="2" width="10.85546875" bestFit="1" customWidth="1"/>
    <col min="3" max="3" width="20.5703125"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s>
  <sheetData>
    <row r="1" spans="1:11" ht="20.25">
      <c r="A1" s="25" t="s">
        <v>1</v>
      </c>
      <c r="B1" s="13"/>
      <c r="C1" s="13"/>
      <c r="D1" s="13"/>
      <c r="E1" s="13"/>
      <c r="F1" s="13"/>
      <c r="G1" s="13"/>
      <c r="H1" s="13"/>
      <c r="I1" s="13"/>
      <c r="J1" s="13"/>
      <c r="K1" s="13"/>
    </row>
    <row r="2" spans="1:11" ht="15.75">
      <c r="A2" s="26" t="s">
        <v>9</v>
      </c>
      <c r="B2" s="13"/>
      <c r="C2" s="13"/>
      <c r="D2" s="13"/>
      <c r="E2" s="13"/>
      <c r="F2" s="13"/>
      <c r="G2" s="13"/>
      <c r="H2" s="13"/>
      <c r="I2" s="13"/>
      <c r="J2" s="13"/>
      <c r="K2" s="13"/>
    </row>
    <row r="3" spans="1:11">
      <c r="A3" s="27" t="s">
        <v>97</v>
      </c>
      <c r="B3" s="13"/>
      <c r="C3" s="13"/>
      <c r="D3" s="13"/>
      <c r="E3" s="13"/>
      <c r="F3" s="13"/>
      <c r="G3" s="13"/>
      <c r="H3" s="13"/>
      <c r="I3" s="13"/>
      <c r="J3" s="13"/>
      <c r="K3" s="13"/>
    </row>
    <row r="4" spans="1:11">
      <c r="A4" s="27"/>
      <c r="B4" s="13"/>
      <c r="C4" s="13"/>
      <c r="D4" s="13"/>
      <c r="E4" s="13"/>
      <c r="F4" s="13"/>
      <c r="G4" s="13"/>
      <c r="H4" s="13"/>
      <c r="I4" s="13"/>
      <c r="J4" s="13"/>
      <c r="K4" s="13"/>
    </row>
    <row r="5" spans="1:11" ht="15.75" thickBot="1">
      <c r="A5" s="13"/>
      <c r="B5" s="13"/>
      <c r="C5" s="13"/>
      <c r="D5" s="13"/>
      <c r="E5" s="13"/>
      <c r="F5" s="28" t="s">
        <v>0</v>
      </c>
      <c r="G5" s="28"/>
      <c r="H5" s="13"/>
      <c r="I5" s="13"/>
      <c r="J5" s="13"/>
      <c r="K5" s="13"/>
    </row>
    <row r="6" spans="1:11" ht="18.75" thickBot="1">
      <c r="A6" s="287" t="str">
        <f>+'S&amp;D'!A12</f>
        <v>Electric Utilities</v>
      </c>
      <c r="B6" s="215"/>
      <c r="C6" s="13"/>
      <c r="D6" s="30"/>
      <c r="E6" s="30"/>
      <c r="F6" s="30"/>
      <c r="G6" s="13"/>
      <c r="H6" s="13"/>
      <c r="I6" s="13"/>
      <c r="J6" s="13"/>
      <c r="K6" s="13"/>
    </row>
    <row r="7" spans="1:11" ht="20.25">
      <c r="A7" s="32"/>
      <c r="B7" s="13"/>
      <c r="C7" s="13"/>
      <c r="D7" s="13"/>
      <c r="E7" s="33" t="s">
        <v>230</v>
      </c>
      <c r="F7" s="13"/>
      <c r="G7" s="13"/>
      <c r="H7" s="13"/>
      <c r="I7" s="13"/>
      <c r="J7" s="13"/>
      <c r="K7" s="13"/>
    </row>
    <row r="8" spans="1:11" ht="15.75" thickBot="1">
      <c r="A8" s="42" t="s">
        <v>0</v>
      </c>
      <c r="B8" s="42" t="s">
        <v>0</v>
      </c>
      <c r="C8" s="42" t="s">
        <v>0</v>
      </c>
      <c r="D8" s="35" t="s">
        <v>0</v>
      </c>
      <c r="E8" s="34" t="s">
        <v>111</v>
      </c>
      <c r="F8" s="35" t="s">
        <v>0</v>
      </c>
      <c r="G8" s="42"/>
      <c r="H8" s="42" t="s">
        <v>0</v>
      </c>
      <c r="I8" s="42" t="s">
        <v>0</v>
      </c>
      <c r="J8" s="13"/>
      <c r="K8" s="13"/>
    </row>
    <row r="9" spans="1:11">
      <c r="A9" s="42"/>
      <c r="B9" s="42"/>
      <c r="H9" s="42"/>
      <c r="I9" s="42"/>
      <c r="J9" s="13"/>
      <c r="K9" s="13"/>
    </row>
    <row r="10" spans="1:11">
      <c r="A10" s="42"/>
      <c r="B10" s="42"/>
      <c r="E10" s="14" t="s">
        <v>0</v>
      </c>
      <c r="H10" s="42"/>
      <c r="I10" s="42"/>
      <c r="J10" s="13"/>
      <c r="K10" s="13"/>
    </row>
    <row r="11" spans="1:11">
      <c r="A11" s="42"/>
      <c r="B11" s="42"/>
      <c r="H11" s="42"/>
      <c r="I11" s="42"/>
      <c r="J11" s="13"/>
      <c r="K11" s="13"/>
    </row>
    <row r="12" spans="1:11" ht="15.75" thickBot="1">
      <c r="A12" s="35"/>
      <c r="B12" s="35"/>
      <c r="C12" s="167"/>
      <c r="D12" s="167"/>
      <c r="E12" s="167"/>
      <c r="F12" s="167"/>
      <c r="G12" s="167"/>
      <c r="H12" s="35"/>
      <c r="I12" s="35"/>
      <c r="J12" s="30"/>
      <c r="K12" s="13"/>
    </row>
    <row r="13" spans="1:11" ht="11.25" customHeight="1" thickBot="1">
      <c r="A13" s="35" t="s">
        <v>24</v>
      </c>
      <c r="B13" s="35" t="s">
        <v>126</v>
      </c>
      <c r="C13" s="35" t="s">
        <v>127</v>
      </c>
      <c r="D13" s="43" t="s">
        <v>128</v>
      </c>
      <c r="E13" s="35" t="s">
        <v>129</v>
      </c>
      <c r="F13" s="35" t="s">
        <v>130</v>
      </c>
      <c r="G13" s="35" t="s">
        <v>131</v>
      </c>
      <c r="H13" s="35" t="s">
        <v>132</v>
      </c>
      <c r="I13" s="35" t="s">
        <v>133</v>
      </c>
      <c r="J13" s="35" t="s">
        <v>134</v>
      </c>
      <c r="K13" s="13"/>
    </row>
    <row r="14" spans="1:11">
      <c r="A14" s="36" t="s">
        <v>0</v>
      </c>
      <c r="B14" s="36" t="s">
        <v>3</v>
      </c>
      <c r="C14" s="36" t="s">
        <v>121</v>
      </c>
      <c r="D14" s="36" t="s">
        <v>154</v>
      </c>
      <c r="E14" s="36" t="s">
        <v>155</v>
      </c>
      <c r="F14" s="36" t="s">
        <v>154</v>
      </c>
      <c r="G14" s="36" t="s">
        <v>155</v>
      </c>
      <c r="H14" s="36" t="s">
        <v>19</v>
      </c>
      <c r="I14" s="36" t="s">
        <v>156</v>
      </c>
      <c r="J14" s="36" t="s">
        <v>168</v>
      </c>
      <c r="K14" s="13"/>
    </row>
    <row r="15" spans="1:11" ht="15.75" thickBot="1">
      <c r="A15" s="38" t="s">
        <v>2</v>
      </c>
      <c r="B15" s="38" t="s">
        <v>4</v>
      </c>
      <c r="C15" s="38" t="s">
        <v>153</v>
      </c>
      <c r="D15" s="38" t="s">
        <v>120</v>
      </c>
      <c r="E15" s="38" t="s">
        <v>120</v>
      </c>
      <c r="F15" s="38" t="s">
        <v>121</v>
      </c>
      <c r="G15" s="38" t="s">
        <v>121</v>
      </c>
      <c r="H15" s="38" t="s">
        <v>154</v>
      </c>
      <c r="I15" s="38" t="s">
        <v>157</v>
      </c>
      <c r="J15" s="38" t="s">
        <v>167</v>
      </c>
      <c r="K15" s="13"/>
    </row>
    <row r="16" spans="1:11">
      <c r="A16" s="44" t="s">
        <v>7</v>
      </c>
      <c r="B16" s="44" t="s">
        <v>7</v>
      </c>
      <c r="C16" s="44" t="s">
        <v>170</v>
      </c>
      <c r="D16" s="44" t="s">
        <v>170</v>
      </c>
      <c r="E16" s="44" t="s">
        <v>170</v>
      </c>
      <c r="F16" s="44" t="s">
        <v>170</v>
      </c>
      <c r="G16" s="44" t="s">
        <v>170</v>
      </c>
      <c r="H16" s="44" t="s">
        <v>159</v>
      </c>
      <c r="I16" s="44" t="s">
        <v>158</v>
      </c>
      <c r="J16" s="44" t="s">
        <v>136</v>
      </c>
      <c r="K16" s="13"/>
    </row>
    <row r="17" spans="1:11">
      <c r="A17" s="36"/>
      <c r="B17" s="36"/>
      <c r="C17" s="36"/>
      <c r="D17" s="36"/>
      <c r="E17" s="36"/>
      <c r="F17" s="36"/>
      <c r="G17" s="36"/>
      <c r="H17" s="36"/>
      <c r="I17" s="36"/>
      <c r="J17" s="36"/>
      <c r="K17" s="13"/>
    </row>
    <row r="18" spans="1:11">
      <c r="A18" s="13"/>
      <c r="B18" s="13"/>
      <c r="C18" s="13"/>
      <c r="D18" s="13"/>
      <c r="E18" s="13"/>
      <c r="F18" s="13"/>
      <c r="G18" s="13"/>
      <c r="H18" s="13"/>
      <c r="I18" s="13"/>
      <c r="J18" s="13"/>
      <c r="K18" s="13"/>
    </row>
    <row r="19" spans="1:11" ht="15.75">
      <c r="A19" s="65" t="str">
        <f>+'S&amp;D'!A22</f>
        <v>ALLETE Inc</v>
      </c>
      <c r="B19" s="93" t="str">
        <f>+'S&amp;D'!B22</f>
        <v>ALE</v>
      </c>
      <c r="C19" s="346">
        <v>75200000</v>
      </c>
      <c r="D19" s="332">
        <v>2182665747</v>
      </c>
      <c r="E19" s="149">
        <v>1977400000</v>
      </c>
      <c r="F19" s="149">
        <f>+'S&amp;D'!G47</f>
        <v>1775029889.5858173</v>
      </c>
      <c r="G19" s="149">
        <f>+'S&amp;D'!J22</f>
        <v>1920800000</v>
      </c>
      <c r="H19" s="203">
        <f>(D19+F19)/2</f>
        <v>1978847818.2929087</v>
      </c>
      <c r="I19" s="68">
        <f>C19/H19</f>
        <v>3.8001911670434936E-2</v>
      </c>
      <c r="J19" s="47">
        <f>F19/G19</f>
        <v>0.92410968845575658</v>
      </c>
      <c r="K19" s="13"/>
    </row>
    <row r="20" spans="1:11" ht="15.75">
      <c r="A20" s="65" t="str">
        <f>+'S&amp;D'!A23</f>
        <v>Alliant Energy</v>
      </c>
      <c r="B20" s="93" t="str">
        <f>+'S&amp;D'!B23</f>
        <v>LNT</v>
      </c>
      <c r="C20" s="346">
        <v>325000000</v>
      </c>
      <c r="D20" s="332">
        <v>8330000000</v>
      </c>
      <c r="E20" s="149">
        <v>7368000000</v>
      </c>
      <c r="F20" s="149">
        <f>+'S&amp;D'!G48</f>
        <v>7368000000</v>
      </c>
      <c r="G20" s="149">
        <f>+'S&amp;D'!J23</f>
        <v>8076000000</v>
      </c>
      <c r="H20" s="203">
        <f t="shared" ref="H20:H34" si="0">(D20+F20)/2</f>
        <v>7849000000</v>
      </c>
      <c r="I20" s="68">
        <f t="shared" ref="I20:I34" si="1">C20/H20</f>
        <v>4.1406548604917826E-2</v>
      </c>
      <c r="J20" s="47">
        <f t="shared" ref="J20:J34" si="2">F20/G20</f>
        <v>0.91233283803863297</v>
      </c>
      <c r="K20" s="13"/>
    </row>
    <row r="21" spans="1:11" ht="15.75">
      <c r="A21" s="65" t="str">
        <f>+'S&amp;D'!A24</f>
        <v>AMEREN Corporation</v>
      </c>
      <c r="B21" s="93" t="str">
        <f>+'S&amp;D'!B24</f>
        <v>AEE</v>
      </c>
      <c r="C21" s="346">
        <v>486000000</v>
      </c>
      <c r="D21" s="332">
        <v>14521000000</v>
      </c>
      <c r="E21" s="149">
        <v>13067000000</v>
      </c>
      <c r="F21" s="149">
        <f>+'S&amp;D'!G49</f>
        <v>12453000000</v>
      </c>
      <c r="G21" s="149">
        <f>+'S&amp;D'!J24</f>
        <v>14025000000</v>
      </c>
      <c r="H21" s="203">
        <f t="shared" si="0"/>
        <v>13487000000</v>
      </c>
      <c r="I21" s="68">
        <f t="shared" si="1"/>
        <v>3.6034700081560019E-2</v>
      </c>
      <c r="J21" s="47">
        <f t="shared" si="2"/>
        <v>0.88791443850267382</v>
      </c>
      <c r="K21" s="13"/>
    </row>
    <row r="22" spans="1:11" ht="15.75">
      <c r="A22" s="65" t="str">
        <f>+'S&amp;D'!A25</f>
        <v>American Electric Power</v>
      </c>
      <c r="B22" s="93" t="str">
        <f>+'S&amp;D'!B25</f>
        <v>AEP</v>
      </c>
      <c r="C22" s="346">
        <v>1396100000</v>
      </c>
      <c r="D22" s="332">
        <v>37564700000</v>
      </c>
      <c r="E22" s="149">
        <v>33454500000</v>
      </c>
      <c r="F22" s="149">
        <f>+'S&amp;D'!G50</f>
        <v>31767100000</v>
      </c>
      <c r="G22" s="149">
        <f>+'S&amp;D'!J25</f>
        <v>35622600000</v>
      </c>
      <c r="H22" s="203">
        <f t="shared" si="0"/>
        <v>34665900000</v>
      </c>
      <c r="I22" s="68">
        <f t="shared" si="1"/>
        <v>4.0273006037633521E-2</v>
      </c>
      <c r="J22" s="47">
        <f t="shared" si="2"/>
        <v>0.89176814718745967</v>
      </c>
      <c r="K22" s="13"/>
    </row>
    <row r="23" spans="1:11" ht="15.75">
      <c r="A23" s="65" t="str">
        <f>+'S&amp;D'!A26</f>
        <v>Centerpoint Energy</v>
      </c>
      <c r="B23" s="93" t="str">
        <f>+'S&amp;D'!B26</f>
        <v>CNP</v>
      </c>
      <c r="C23" s="346">
        <v>524000000</v>
      </c>
      <c r="D23" s="332">
        <v>17385000000</v>
      </c>
      <c r="E23" s="149">
        <v>16086000000</v>
      </c>
      <c r="F23" s="149">
        <f>+'S&amp;D'!G51</f>
        <v>14990000000</v>
      </c>
      <c r="G23" s="149">
        <f>+'S&amp;D'!J26</f>
        <v>16338000000</v>
      </c>
      <c r="H23" s="203">
        <f t="shared" si="0"/>
        <v>16187500000</v>
      </c>
      <c r="I23" s="68">
        <f t="shared" si="1"/>
        <v>3.2370656370656371E-2</v>
      </c>
      <c r="J23" s="47">
        <f t="shared" si="2"/>
        <v>0.91749296119476065</v>
      </c>
      <c r="K23" s="13"/>
    </row>
    <row r="24" spans="1:11" ht="15.75">
      <c r="A24" s="65" t="str">
        <f>+'S&amp;D'!A27</f>
        <v>CMS Energy</v>
      </c>
      <c r="B24" s="93" t="str">
        <f>+'S&amp;D'!B27</f>
        <v>CMS</v>
      </c>
      <c r="C24" s="346">
        <v>519000000</v>
      </c>
      <c r="D24" s="332">
        <v>13861116032</v>
      </c>
      <c r="E24" s="149">
        <v>12474000000</v>
      </c>
      <c r="F24" s="149">
        <f>+'S&amp;D'!G52</f>
        <v>12451095975.232199</v>
      </c>
      <c r="G24" s="149">
        <f>+'S&amp;D'!J27</f>
        <v>14289000000</v>
      </c>
      <c r="H24" s="203">
        <f t="shared" si="0"/>
        <v>13156106003.6161</v>
      </c>
      <c r="I24" s="68">
        <f t="shared" si="1"/>
        <v>3.9449362893347557E-2</v>
      </c>
      <c r="J24" s="47">
        <f t="shared" si="2"/>
        <v>0.87137630171685898</v>
      </c>
      <c r="K24" s="13"/>
    </row>
    <row r="25" spans="1:11" ht="15.75">
      <c r="A25" s="65" t="str">
        <f>+'S&amp;D'!A28</f>
        <v>DTE Energy</v>
      </c>
      <c r="B25" s="93" t="str">
        <f>+'S&amp;D'!B28</f>
        <v>DTE</v>
      </c>
      <c r="C25" s="346">
        <v>675000000</v>
      </c>
      <c r="D25" s="332">
        <v>18945389573</v>
      </c>
      <c r="E25" s="149">
        <v>17405000000</v>
      </c>
      <c r="F25" s="149">
        <f>+'S&amp;D'!G53</f>
        <v>17273235899.43264</v>
      </c>
      <c r="G25" s="149">
        <f>+'S&amp;D'!J28</f>
        <v>17997000000</v>
      </c>
      <c r="H25" s="203">
        <f t="shared" si="0"/>
        <v>18109312736.21632</v>
      </c>
      <c r="I25" s="68">
        <f t="shared" si="1"/>
        <v>3.7273639802469477E-2</v>
      </c>
      <c r="J25" s="47">
        <f t="shared" si="2"/>
        <v>0.9597841806652575</v>
      </c>
      <c r="K25" s="13"/>
    </row>
    <row r="26" spans="1:11" ht="15.75">
      <c r="A26" s="65" t="str">
        <f>+'S&amp;D'!A29</f>
        <v>Duke Energy</v>
      </c>
      <c r="B26" s="93" t="str">
        <f>+'S&amp;D'!B29</f>
        <v>DUK</v>
      </c>
      <c r="C26" s="346">
        <v>2439000000</v>
      </c>
      <c r="D26" s="332">
        <v>69683000000</v>
      </c>
      <c r="E26" s="149">
        <v>63835000000</v>
      </c>
      <c r="F26" s="149">
        <f>+'S&amp;D'!G54</f>
        <v>63454000000</v>
      </c>
      <c r="G26" s="149">
        <f>+'S&amp;D'!J29</f>
        <v>71215000000</v>
      </c>
      <c r="H26" s="203">
        <f t="shared" si="0"/>
        <v>66568500000</v>
      </c>
      <c r="I26" s="68">
        <f t="shared" si="1"/>
        <v>3.6638950855134182E-2</v>
      </c>
      <c r="J26" s="47">
        <f t="shared" si="2"/>
        <v>0.89102015024924519</v>
      </c>
      <c r="K26" s="13"/>
    </row>
    <row r="27" spans="1:11" ht="15.75">
      <c r="A27" s="65" t="str">
        <f>+'S&amp;D'!A30</f>
        <v>Entergy Corp</v>
      </c>
      <c r="B27" s="93" t="str">
        <f>+'S&amp;D'!B30</f>
        <v>ETR</v>
      </c>
      <c r="C27" s="346">
        <v>940060000</v>
      </c>
      <c r="D27" s="332">
        <v>27061171000</v>
      </c>
      <c r="E27" s="149">
        <v>25880901000</v>
      </c>
      <c r="F27" s="149">
        <f>+'S&amp;D'!G55</f>
        <v>24780275435.782497</v>
      </c>
      <c r="G27" s="149">
        <f>+'S&amp;D'!J30</f>
        <v>25932549000</v>
      </c>
      <c r="H27" s="203">
        <f t="shared" si="0"/>
        <v>25920723217.891251</v>
      </c>
      <c r="I27" s="68">
        <f t="shared" si="1"/>
        <v>3.6266735001866876E-2</v>
      </c>
      <c r="J27" s="47">
        <f t="shared" si="2"/>
        <v>0.95556651356496025</v>
      </c>
      <c r="K27" s="13"/>
    </row>
    <row r="28" spans="1:11" ht="15.75">
      <c r="A28" s="65" t="str">
        <f>+'S&amp;D'!A31</f>
        <v>Evergy Inc</v>
      </c>
      <c r="B28" s="93" t="str">
        <f>+'S&amp;D'!B31</f>
        <v>EVRG</v>
      </c>
      <c r="C28" s="346">
        <v>404000000</v>
      </c>
      <c r="D28" s="332">
        <v>10758500000</v>
      </c>
      <c r="E28" s="149">
        <f>9297900000+389300000</f>
        <v>9687200000</v>
      </c>
      <c r="F28" s="149">
        <f>+'S&amp;D'!G56</f>
        <v>9160000000.0000019</v>
      </c>
      <c r="G28" s="149">
        <f>+'S&amp;D'!J31</f>
        <v>10344800000</v>
      </c>
      <c r="H28" s="203">
        <f t="shared" ref="H28" si="3">(D28+F28)/2</f>
        <v>9959250000</v>
      </c>
      <c r="I28" s="68">
        <f t="shared" ref="I28" si="4">C28/H28</f>
        <v>4.0565303612219793E-2</v>
      </c>
      <c r="J28" s="47">
        <f t="shared" ref="J28" si="5">F28/G28</f>
        <v>0.885469027917408</v>
      </c>
      <c r="K28" s="13"/>
    </row>
    <row r="29" spans="1:11" ht="15.75">
      <c r="A29" s="65" t="str">
        <f>+'S&amp;D'!A32</f>
        <v>FirstEnergy Corp</v>
      </c>
      <c r="B29" s="93" t="str">
        <f>+'S&amp;D'!B32</f>
        <v>FE</v>
      </c>
      <c r="C29" s="346">
        <v>1039000000</v>
      </c>
      <c r="D29" s="332">
        <v>26939101395</v>
      </c>
      <c r="E29" s="149">
        <v>23854000000</v>
      </c>
      <c r="F29" s="149">
        <f>+'S&amp;D'!G57</f>
        <v>19704465412.873714</v>
      </c>
      <c r="G29" s="149">
        <f>+'S&amp;D'!J32</f>
        <v>21554000000</v>
      </c>
      <c r="H29" s="203">
        <f t="shared" si="0"/>
        <v>23321783403.936859</v>
      </c>
      <c r="I29" s="68">
        <f t="shared" si="1"/>
        <v>4.4550623852574259E-2</v>
      </c>
      <c r="J29" s="47">
        <f t="shared" si="2"/>
        <v>0.9141906566240009</v>
      </c>
      <c r="K29" s="13"/>
    </row>
    <row r="30" spans="1:11" ht="15.75">
      <c r="A30" s="65" t="str">
        <f>+'S&amp;D'!A33</f>
        <v>OGE Energy Corp.</v>
      </c>
      <c r="B30" s="93" t="str">
        <f>+'S&amp;D'!B33</f>
        <v>OGE</v>
      </c>
      <c r="C30" s="346">
        <v>166300000</v>
      </c>
      <c r="D30" s="332">
        <v>5103400000</v>
      </c>
      <c r="E30" s="149">
        <v>4496400000</v>
      </c>
      <c r="F30" s="149">
        <f>+'S&amp;D'!G58</f>
        <v>4161000000.0000005</v>
      </c>
      <c r="G30" s="149">
        <f>+'S&amp;D'!J33</f>
        <v>4548600000</v>
      </c>
      <c r="H30" s="203">
        <f t="shared" si="0"/>
        <v>4632200000</v>
      </c>
      <c r="I30" s="68">
        <f t="shared" si="1"/>
        <v>3.5900867838176247E-2</v>
      </c>
      <c r="J30" s="47">
        <f t="shared" si="2"/>
        <v>0.91478696741854648</v>
      </c>
      <c r="K30" s="13"/>
    </row>
    <row r="31" spans="1:11" ht="15.75">
      <c r="A31" s="65" t="str">
        <f>+'S&amp;D'!A34</f>
        <v>Otter Tail Corp</v>
      </c>
      <c r="B31" s="93" t="str">
        <f>+'S&amp;D'!B34</f>
        <v>OTTR</v>
      </c>
      <c r="C31" s="346">
        <v>36016000</v>
      </c>
      <c r="D31" s="332">
        <v>878272000</v>
      </c>
      <c r="E31" s="149">
        <v>763997000</v>
      </c>
      <c r="F31" s="149">
        <f>+'S&amp;D'!G59</f>
        <v>689819000</v>
      </c>
      <c r="G31" s="149">
        <f>+'S&amp;D'!J34</f>
        <v>823821000</v>
      </c>
      <c r="H31" s="203">
        <f t="shared" si="0"/>
        <v>784045500</v>
      </c>
      <c r="I31" s="68">
        <f t="shared" si="1"/>
        <v>4.5936109575273373E-2</v>
      </c>
      <c r="J31" s="47">
        <f t="shared" si="2"/>
        <v>0.83734087866174811</v>
      </c>
      <c r="K31" s="13"/>
    </row>
    <row r="32" spans="1:11" ht="15.75">
      <c r="A32" s="65" t="str">
        <f>+'S&amp;D'!A35</f>
        <v>PPL Corporation</v>
      </c>
      <c r="B32" s="93" t="str">
        <f>+'S&amp;D'!B35</f>
        <v>PPL</v>
      </c>
      <c r="C32" s="346">
        <v>513000000</v>
      </c>
      <c r="D32" s="332">
        <v>12955000000</v>
      </c>
      <c r="E32" s="149">
        <v>11140000000</v>
      </c>
      <c r="F32" s="149">
        <f>+'S&amp;D'!G60</f>
        <v>12239000000</v>
      </c>
      <c r="G32" s="149">
        <f>+'S&amp;D'!J35</f>
        <v>13243000000</v>
      </c>
      <c r="H32" s="203">
        <f t="shared" si="0"/>
        <v>12597000000</v>
      </c>
      <c r="I32" s="68">
        <f t="shared" si="1"/>
        <v>4.072398190045249E-2</v>
      </c>
      <c r="J32" s="47">
        <f t="shared" si="2"/>
        <v>0.92418636260666009</v>
      </c>
      <c r="K32" s="13"/>
    </row>
    <row r="33" spans="1:11" ht="15.75">
      <c r="A33" s="65" t="str">
        <f>+'S&amp;D'!A36</f>
        <v>The Southern Company</v>
      </c>
      <c r="B33" s="93" t="str">
        <f>+'S&amp;D'!B36</f>
        <v>SO</v>
      </c>
      <c r="C33" s="346">
        <v>2022000000</v>
      </c>
      <c r="D33" s="332">
        <v>57293986564</v>
      </c>
      <c r="E33" s="149">
        <v>52277000000</v>
      </c>
      <c r="F33" s="149">
        <f>+'S&amp;D'!G61</f>
        <v>48903527472.527473</v>
      </c>
      <c r="G33" s="149">
        <f>+'S&amp;D'!J36</f>
        <v>54941000000</v>
      </c>
      <c r="H33" s="203">
        <f t="shared" si="0"/>
        <v>53098757018.263733</v>
      </c>
      <c r="I33" s="68">
        <f t="shared" si="1"/>
        <v>3.8079987433689219E-2</v>
      </c>
      <c r="J33" s="47">
        <f t="shared" si="2"/>
        <v>0.89010989010989017</v>
      </c>
      <c r="K33" s="13"/>
    </row>
    <row r="34" spans="1:11" ht="15.75">
      <c r="A34" s="65" t="str">
        <f>+'S&amp;D'!A37</f>
        <v>WEC Energy Group</v>
      </c>
      <c r="B34" s="93" t="str">
        <f>+'S&amp;D'!B37</f>
        <v>WEC</v>
      </c>
      <c r="C34" s="346">
        <v>515100000</v>
      </c>
      <c r="D34" s="332">
        <v>14961110499</v>
      </c>
      <c r="E34" s="149">
        <v>13693100000</v>
      </c>
      <c r="F34" s="149">
        <f>+'S&amp;D'!G62</f>
        <v>14104500000</v>
      </c>
      <c r="G34" s="149">
        <f>+'S&amp;D'!J37</f>
        <v>15647400000</v>
      </c>
      <c r="H34" s="203">
        <f t="shared" si="0"/>
        <v>14532805249.5</v>
      </c>
      <c r="I34" s="68">
        <f t="shared" si="1"/>
        <v>3.544394844331393E-2</v>
      </c>
      <c r="J34" s="47">
        <f t="shared" si="2"/>
        <v>0.90139575903984048</v>
      </c>
      <c r="K34" s="13"/>
    </row>
    <row r="35" spans="1:11" ht="15.75" thickBot="1">
      <c r="A35" s="13"/>
      <c r="B35" s="13"/>
      <c r="C35" s="48"/>
      <c r="D35" s="48"/>
      <c r="E35" s="48"/>
      <c r="F35" s="48"/>
      <c r="G35" s="48" t="s">
        <v>64</v>
      </c>
      <c r="H35" s="48"/>
      <c r="I35" s="48" t="s">
        <v>64</v>
      </c>
      <c r="J35" s="48"/>
      <c r="K35" s="13"/>
    </row>
    <row r="36" spans="1:11" ht="15.75" thickTop="1">
      <c r="A36" s="13"/>
      <c r="B36" s="13"/>
      <c r="C36" s="49" t="s">
        <v>0</v>
      </c>
      <c r="D36" s="49" t="s">
        <v>0</v>
      </c>
      <c r="E36" s="36" t="s">
        <v>0</v>
      </c>
      <c r="F36" s="36"/>
      <c r="G36" s="49" t="s">
        <v>0</v>
      </c>
      <c r="H36" s="15" t="s">
        <v>65</v>
      </c>
      <c r="I36" s="55">
        <v>4.5900000000000003E-2</v>
      </c>
      <c r="J36" s="347">
        <v>0.95979999999999999</v>
      </c>
      <c r="K36" s="13"/>
    </row>
    <row r="37" spans="1:11">
      <c r="A37" s="204" t="s">
        <v>107</v>
      </c>
      <c r="B37" s="13"/>
      <c r="C37" s="49"/>
      <c r="D37" s="49"/>
      <c r="E37" s="36"/>
      <c r="F37" s="36"/>
      <c r="G37" s="49"/>
      <c r="H37" s="15" t="s">
        <v>66</v>
      </c>
      <c r="I37" s="55">
        <v>3.2399999999999998E-2</v>
      </c>
      <c r="J37" s="347">
        <v>0.83730000000000004</v>
      </c>
      <c r="K37" s="13"/>
    </row>
    <row r="38" spans="1:11">
      <c r="A38" s="205" t="s">
        <v>312</v>
      </c>
      <c r="B38" s="13"/>
      <c r="C38" s="13"/>
      <c r="D38" s="13"/>
      <c r="E38" s="13"/>
      <c r="F38" s="13"/>
      <c r="G38" s="13"/>
      <c r="H38" s="15" t="s">
        <v>18</v>
      </c>
      <c r="I38" s="58">
        <f>MEDIAN(I19:I34)</f>
        <v>3.8040949552062081E-2</v>
      </c>
      <c r="J38" s="50">
        <f>MEDIAN(J19:J34)</f>
        <v>0.90686429853923678</v>
      </c>
      <c r="K38" s="13"/>
    </row>
    <row r="39" spans="1:11">
      <c r="A39" s="205" t="s">
        <v>276</v>
      </c>
      <c r="B39" s="13"/>
      <c r="C39" s="13"/>
      <c r="D39" s="13"/>
      <c r="E39" s="13"/>
      <c r="F39" s="13"/>
      <c r="G39" s="13"/>
      <c r="H39" s="15" t="s">
        <v>466</v>
      </c>
      <c r="I39" s="58">
        <f>AVERAGE(I19:I34)</f>
        <v>3.8682270873357495E-2</v>
      </c>
      <c r="J39" s="50">
        <f>AVERAGE(J19:J34)</f>
        <v>0.90492779762210629</v>
      </c>
      <c r="K39" s="13"/>
    </row>
    <row r="40" spans="1:11" ht="15.75" thickBot="1">
      <c r="A40" s="13"/>
      <c r="B40" s="13"/>
      <c r="C40" s="13"/>
      <c r="D40" s="13"/>
      <c r="E40" s="13"/>
      <c r="F40" s="13"/>
      <c r="G40" s="13"/>
      <c r="H40" s="13"/>
      <c r="I40" s="13"/>
      <c r="J40" s="14"/>
      <c r="K40" s="13"/>
    </row>
    <row r="41" spans="1:11" ht="21" thickBot="1">
      <c r="A41" s="13"/>
      <c r="B41" s="13"/>
      <c r="C41" s="13"/>
      <c r="D41" s="13"/>
      <c r="E41" s="13"/>
      <c r="F41" s="13"/>
      <c r="G41" s="210"/>
      <c r="H41" s="211" t="s">
        <v>282</v>
      </c>
      <c r="I41" s="422">
        <v>3.8699999999999998E-2</v>
      </c>
      <c r="J41" s="440">
        <v>9.0489999999999998E-3</v>
      </c>
      <c r="K41" s="13"/>
    </row>
    <row r="42" spans="1:11">
      <c r="A42" s="13"/>
      <c r="B42" s="13"/>
      <c r="C42" s="13"/>
      <c r="D42" s="13"/>
      <c r="E42" s="13"/>
      <c r="F42" s="13"/>
      <c r="G42" s="13"/>
      <c r="H42" s="13"/>
      <c r="I42" s="13"/>
      <c r="J42" s="13"/>
      <c r="K42" s="13"/>
    </row>
    <row r="43" spans="1:11">
      <c r="A43" s="13"/>
      <c r="B43" s="13"/>
      <c r="C43" s="13"/>
      <c r="D43" s="13"/>
      <c r="E43" s="13"/>
      <c r="F43" s="13"/>
      <c r="G43" s="13"/>
      <c r="H43" s="13"/>
      <c r="I43" s="13"/>
      <c r="J43" s="13"/>
      <c r="K43" s="13"/>
    </row>
  </sheetData>
  <pageMargins left="0.25" right="0.25" top="0.75" bottom="0.75" header="0.3" footer="0.3"/>
  <pageSetup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8"/>
  <sheetViews>
    <sheetView view="pageBreakPreview" zoomScale="60" zoomScaleNormal="80" workbookViewId="0">
      <selection activeCell="K42" sqref="K42"/>
    </sheetView>
  </sheetViews>
  <sheetFormatPr defaultRowHeight="15"/>
  <cols>
    <col min="1" max="1" width="41.140625" customWidth="1"/>
    <col min="2" max="2" width="10.85546875" bestFit="1" customWidth="1"/>
    <col min="3" max="3" width="27.140625" customWidth="1"/>
    <col min="4" max="4" width="19.7109375" customWidth="1"/>
    <col min="5" max="5" width="21.85546875" customWidth="1"/>
    <col min="6" max="6" width="18" customWidth="1"/>
    <col min="7" max="7" width="12.28515625" customWidth="1"/>
    <col min="8" max="8" width="20.5703125" customWidth="1"/>
    <col min="9" max="9" width="12.42578125" customWidth="1"/>
    <col min="10" max="11" width="20.5703125" customWidth="1"/>
    <col min="12" max="12" width="26.5703125" customWidth="1"/>
    <col min="13" max="13" width="6.5703125" customWidth="1"/>
  </cols>
  <sheetData>
    <row r="1" spans="1:13" ht="20.25">
      <c r="A1" s="25" t="s">
        <v>1</v>
      </c>
      <c r="B1" s="13"/>
      <c r="C1" s="13"/>
      <c r="D1" s="13"/>
      <c r="E1" s="13"/>
      <c r="F1" s="13"/>
      <c r="G1" s="13"/>
      <c r="H1" s="13"/>
      <c r="I1" s="13"/>
      <c r="J1" s="13"/>
      <c r="K1" s="13"/>
      <c r="L1" s="13"/>
      <c r="M1" s="13"/>
    </row>
    <row r="2" spans="1:13" ht="15.75">
      <c r="A2" s="26" t="s">
        <v>9</v>
      </c>
      <c r="B2" s="13"/>
      <c r="C2" s="13"/>
      <c r="D2" s="13"/>
      <c r="E2" s="13"/>
      <c r="F2" s="13"/>
      <c r="G2" s="13"/>
      <c r="H2" s="13"/>
      <c r="I2" s="13"/>
      <c r="J2" s="13"/>
      <c r="K2" s="13"/>
      <c r="L2" s="13"/>
      <c r="M2" s="13"/>
    </row>
    <row r="3" spans="1:13">
      <c r="A3" s="27" t="s">
        <v>97</v>
      </c>
      <c r="B3" s="13"/>
      <c r="C3" s="13"/>
      <c r="D3" s="13"/>
      <c r="E3" s="13"/>
      <c r="F3" s="13"/>
      <c r="G3" s="13"/>
      <c r="H3" s="13"/>
      <c r="I3" s="13"/>
      <c r="J3" s="13"/>
      <c r="K3" s="13"/>
      <c r="L3" s="13"/>
      <c r="M3" s="13"/>
    </row>
    <row r="4" spans="1:13">
      <c r="A4" s="27"/>
      <c r="B4" s="13"/>
      <c r="C4" s="13"/>
      <c r="D4" s="13"/>
      <c r="E4" s="13"/>
      <c r="F4" s="13"/>
      <c r="G4" s="13"/>
      <c r="H4" s="13"/>
      <c r="I4" s="13"/>
      <c r="J4" s="13"/>
      <c r="K4" s="13"/>
      <c r="L4" s="13"/>
      <c r="M4" s="13"/>
    </row>
    <row r="5" spans="1:13" ht="15.75" thickBot="1">
      <c r="A5" s="13"/>
      <c r="B5" s="13"/>
      <c r="C5" s="13"/>
      <c r="D5" s="13"/>
      <c r="E5" s="13"/>
      <c r="F5" s="13"/>
      <c r="G5" s="28"/>
      <c r="H5" s="28"/>
      <c r="I5" s="13"/>
      <c r="J5" s="13"/>
      <c r="K5" s="13"/>
      <c r="L5" s="13"/>
      <c r="M5" s="13"/>
    </row>
    <row r="6" spans="1:13" ht="18.75" thickBot="1">
      <c r="A6" s="287" t="str">
        <f>+'S&amp;D'!A12</f>
        <v>Electric Utilities</v>
      </c>
      <c r="B6" s="215"/>
      <c r="C6" s="13"/>
      <c r="D6" s="30"/>
      <c r="E6" s="30"/>
      <c r="F6" s="31" t="s">
        <v>0</v>
      </c>
      <c r="G6" s="13"/>
      <c r="H6" s="13"/>
      <c r="I6" s="13"/>
      <c r="J6" s="13"/>
      <c r="K6" s="13"/>
      <c r="L6" s="13"/>
      <c r="M6" s="13"/>
    </row>
    <row r="7" spans="1:13" ht="20.25">
      <c r="A7" s="32"/>
      <c r="B7" s="13"/>
      <c r="C7" s="13"/>
      <c r="D7" s="13"/>
      <c r="E7" s="33" t="s">
        <v>166</v>
      </c>
      <c r="F7" s="13"/>
      <c r="G7" s="13"/>
      <c r="H7" s="13"/>
      <c r="I7" s="13"/>
      <c r="J7" s="13"/>
      <c r="K7" s="13"/>
      <c r="L7" s="13"/>
      <c r="M7" s="13"/>
    </row>
    <row r="8" spans="1:13" ht="18.75" thickBot="1">
      <c r="A8" s="32"/>
      <c r="B8" s="13"/>
      <c r="C8" s="13"/>
      <c r="D8" s="30"/>
      <c r="E8" s="34" t="s">
        <v>111</v>
      </c>
      <c r="F8" s="30"/>
      <c r="G8" s="13"/>
      <c r="H8" s="13"/>
      <c r="I8" s="13"/>
      <c r="J8" s="13"/>
      <c r="K8" s="13"/>
      <c r="L8" s="13"/>
      <c r="M8" s="13"/>
    </row>
    <row r="9" spans="1:13" ht="15.75" thickBot="1">
      <c r="A9" s="35" t="s">
        <v>0</v>
      </c>
      <c r="B9" s="35" t="s">
        <v>0</v>
      </c>
      <c r="C9" s="35" t="s">
        <v>0</v>
      </c>
      <c r="D9" s="35" t="s">
        <v>0</v>
      </c>
      <c r="E9" s="35" t="s">
        <v>0</v>
      </c>
      <c r="F9" s="35" t="s">
        <v>0</v>
      </c>
      <c r="G9" s="35"/>
      <c r="H9" s="35"/>
      <c r="I9" s="35" t="s">
        <v>0</v>
      </c>
      <c r="J9" s="30"/>
      <c r="K9" s="13"/>
      <c r="L9" s="13"/>
      <c r="M9" s="13"/>
    </row>
    <row r="10" spans="1:13">
      <c r="A10" s="36" t="s">
        <v>0</v>
      </c>
      <c r="B10" s="36" t="s">
        <v>3</v>
      </c>
      <c r="C10" s="36" t="s">
        <v>5</v>
      </c>
      <c r="D10" s="36" t="s">
        <v>21</v>
      </c>
      <c r="E10" s="36" t="s">
        <v>20</v>
      </c>
      <c r="F10" s="36" t="s">
        <v>82</v>
      </c>
      <c r="G10" s="36" t="s">
        <v>169</v>
      </c>
      <c r="H10" s="36" t="s">
        <v>76</v>
      </c>
      <c r="I10" s="36" t="s">
        <v>169</v>
      </c>
      <c r="J10" s="36" t="s">
        <v>76</v>
      </c>
      <c r="K10" s="13"/>
      <c r="L10" s="13"/>
      <c r="M10" s="13"/>
    </row>
    <row r="11" spans="1:13" ht="15.75" thickBot="1">
      <c r="A11" s="38" t="s">
        <v>2</v>
      </c>
      <c r="B11" s="38" t="s">
        <v>4</v>
      </c>
      <c r="C11" s="38" t="s">
        <v>6</v>
      </c>
      <c r="D11" s="38" t="s">
        <v>23</v>
      </c>
      <c r="E11" s="38" t="s">
        <v>22</v>
      </c>
      <c r="F11" s="38" t="s">
        <v>77</v>
      </c>
      <c r="G11" s="38" t="s">
        <v>77</v>
      </c>
      <c r="H11" s="38" t="s">
        <v>77</v>
      </c>
      <c r="I11" s="38" t="s">
        <v>77</v>
      </c>
      <c r="J11" s="38" t="s">
        <v>80</v>
      </c>
      <c r="K11" s="13"/>
      <c r="L11" s="13"/>
      <c r="M11" s="13"/>
    </row>
    <row r="12" spans="1:13">
      <c r="A12" s="40" t="s">
        <v>7</v>
      </c>
      <c r="B12" s="40" t="s">
        <v>7</v>
      </c>
      <c r="C12" s="40" t="s">
        <v>7</v>
      </c>
      <c r="D12" s="40" t="s">
        <v>7</v>
      </c>
      <c r="E12" s="40" t="s">
        <v>7</v>
      </c>
      <c r="F12" s="40" t="s">
        <v>81</v>
      </c>
      <c r="G12" s="40"/>
      <c r="H12" s="40" t="s">
        <v>76</v>
      </c>
      <c r="I12" s="40"/>
      <c r="J12" s="40" t="s">
        <v>76</v>
      </c>
      <c r="K12" s="13"/>
      <c r="L12" s="13"/>
      <c r="M12" s="13"/>
    </row>
    <row r="13" spans="1:13">
      <c r="A13" s="36"/>
      <c r="B13" s="36"/>
      <c r="C13" s="36"/>
      <c r="D13" s="36"/>
      <c r="E13" s="36"/>
      <c r="F13" s="36"/>
      <c r="G13" s="36"/>
      <c r="H13" s="36"/>
      <c r="I13" s="36"/>
      <c r="J13" s="36"/>
      <c r="K13" s="13"/>
      <c r="L13" s="13"/>
      <c r="M13" s="13"/>
    </row>
    <row r="14" spans="1:13">
      <c r="A14" s="13"/>
      <c r="B14" s="13"/>
      <c r="C14" s="13"/>
      <c r="D14" s="13"/>
      <c r="E14" s="13"/>
      <c r="F14" s="13"/>
      <c r="G14" s="13"/>
      <c r="H14" s="13"/>
      <c r="I14" s="13"/>
      <c r="J14" s="13"/>
      <c r="K14" s="13"/>
      <c r="L14" s="13"/>
      <c r="M14" s="13"/>
    </row>
    <row r="15" spans="1:13" ht="15.75">
      <c r="A15" s="65" t="str">
        <f>+'S&amp;D'!A22</f>
        <v>ALLETE Inc</v>
      </c>
      <c r="B15" s="93" t="str">
        <f>+'S&amp;D'!B22</f>
        <v>ALE</v>
      </c>
      <c r="C15" s="93" t="str">
        <f>+'S&amp;D'!C22</f>
        <v>Electric Utility - Cent</v>
      </c>
      <c r="D15" s="382" t="str">
        <f>+'Beta for CAPM'!D18</f>
        <v>nmf</v>
      </c>
      <c r="E15" s="36" t="str">
        <f>+'Beta for CAPM'!G18</f>
        <v>A</v>
      </c>
      <c r="F15" s="36" t="s">
        <v>87</v>
      </c>
      <c r="G15" s="316">
        <v>11</v>
      </c>
      <c r="H15" s="64" t="s">
        <v>84</v>
      </c>
      <c r="I15" s="316">
        <v>10</v>
      </c>
      <c r="J15" s="68">
        <v>5.9299999999999999E-2</v>
      </c>
      <c r="K15" s="13" t="s">
        <v>0</v>
      </c>
      <c r="L15" s="13"/>
      <c r="M15" s="13"/>
    </row>
    <row r="16" spans="1:13" ht="15.75">
      <c r="A16" s="65" t="str">
        <f>+'S&amp;D'!A23</f>
        <v>Alliant Energy</v>
      </c>
      <c r="B16" s="93" t="str">
        <f>+'S&amp;D'!B23</f>
        <v>LNT</v>
      </c>
      <c r="C16" s="93" t="str">
        <f>+'S&amp;D'!C23</f>
        <v>Electric Utility - Cent</v>
      </c>
      <c r="D16" s="56">
        <f>+'Beta for CAPM'!D19</f>
        <v>3.1E-2</v>
      </c>
      <c r="E16" s="36" t="str">
        <f>+'Beta for CAPM'!G19</f>
        <v>A</v>
      </c>
      <c r="F16" s="36" t="s">
        <v>93</v>
      </c>
      <c r="G16" s="316">
        <v>11</v>
      </c>
      <c r="H16" s="64" t="s">
        <v>85</v>
      </c>
      <c r="I16" s="316">
        <v>11</v>
      </c>
      <c r="J16" s="68">
        <v>5.9299999999999999E-2</v>
      </c>
      <c r="K16" s="13" t="s">
        <v>0</v>
      </c>
      <c r="L16" s="13"/>
      <c r="M16" s="13"/>
    </row>
    <row r="17" spans="1:13" ht="15.75">
      <c r="A17" s="65" t="str">
        <f>+'S&amp;D'!A24</f>
        <v>AMEREN Corporation</v>
      </c>
      <c r="B17" s="93" t="str">
        <f>+'S&amp;D'!B24</f>
        <v>AEE</v>
      </c>
      <c r="C17" s="93" t="str">
        <f>+'S&amp;D'!C24</f>
        <v>Electric Utility - Cent</v>
      </c>
      <c r="D17" s="56">
        <f>+'Beta for CAPM'!D20</f>
        <v>0.12</v>
      </c>
      <c r="E17" s="36" t="str">
        <f>+'Beta for CAPM'!G20</f>
        <v>A</v>
      </c>
      <c r="F17" s="36" t="s">
        <v>86</v>
      </c>
      <c r="G17" s="316">
        <v>10</v>
      </c>
      <c r="H17" s="64" t="s">
        <v>84</v>
      </c>
      <c r="I17" s="316">
        <v>10</v>
      </c>
      <c r="J17" s="68">
        <v>5.9299999999999999E-2</v>
      </c>
      <c r="K17" s="13" t="s">
        <v>0</v>
      </c>
      <c r="L17" s="13"/>
      <c r="M17" s="13"/>
    </row>
    <row r="18" spans="1:13" ht="15.75">
      <c r="A18" s="65" t="str">
        <f>+'S&amp;D'!A25</f>
        <v>American Electric Power</v>
      </c>
      <c r="B18" s="93" t="str">
        <f>+'S&amp;D'!B25</f>
        <v>AEP</v>
      </c>
      <c r="C18" s="93" t="str">
        <f>+'S&amp;D'!C25</f>
        <v>Electric Utility - Cent</v>
      </c>
      <c r="D18" s="56">
        <f>+'Beta for CAPM'!D21</f>
        <v>0.21</v>
      </c>
      <c r="E18" s="36" t="str">
        <f>+'Beta for CAPM'!G21</f>
        <v>A+</v>
      </c>
      <c r="F18" s="36" t="s">
        <v>93</v>
      </c>
      <c r="G18" s="316">
        <v>9</v>
      </c>
      <c r="H18" s="64" t="s">
        <v>85</v>
      </c>
      <c r="I18" s="316">
        <v>11</v>
      </c>
      <c r="J18" s="68">
        <v>5.9299999999999999E-2</v>
      </c>
      <c r="K18" s="13" t="s">
        <v>0</v>
      </c>
      <c r="L18" s="13"/>
      <c r="M18" s="13"/>
    </row>
    <row r="19" spans="1:13" ht="15.75">
      <c r="A19" s="65" t="str">
        <f>+'S&amp;D'!A26</f>
        <v>Centerpoint Energy</v>
      </c>
      <c r="B19" s="93" t="str">
        <f>+'S&amp;D'!B26</f>
        <v>CNP</v>
      </c>
      <c r="C19" s="93" t="str">
        <f>+'S&amp;D'!C26</f>
        <v>Electric Utility - Cent</v>
      </c>
      <c r="D19" s="56">
        <f>+'Beta for CAPM'!D22</f>
        <v>0.2</v>
      </c>
      <c r="E19" s="36" t="str">
        <f>+'Beta for CAPM'!G22</f>
        <v>B++</v>
      </c>
      <c r="F19" s="36" t="s">
        <v>86</v>
      </c>
      <c r="G19" s="316">
        <v>10</v>
      </c>
      <c r="H19" s="64" t="s">
        <v>85</v>
      </c>
      <c r="I19" s="316">
        <v>11</v>
      </c>
      <c r="J19" s="68">
        <v>5.9299999999999999E-2</v>
      </c>
      <c r="K19" s="13" t="s">
        <v>0</v>
      </c>
      <c r="L19" s="13"/>
      <c r="M19" s="13"/>
    </row>
    <row r="20" spans="1:13" ht="15.75">
      <c r="A20" s="65" t="str">
        <f>+'S&amp;D'!A27</f>
        <v>CMS Energy</v>
      </c>
      <c r="B20" s="93" t="str">
        <f>+'S&amp;D'!B27</f>
        <v>CMS</v>
      </c>
      <c r="C20" s="93" t="str">
        <f>+'S&amp;D'!C27</f>
        <v>Electric Utility - Cent</v>
      </c>
      <c r="D20" s="56">
        <f>+'Beta for CAPM'!D23</f>
        <v>0.10299999999999999</v>
      </c>
      <c r="E20" s="36" t="str">
        <f>+'Beta for CAPM'!G23</f>
        <v>A</v>
      </c>
      <c r="F20" s="36" t="s">
        <v>86</v>
      </c>
      <c r="G20" s="316">
        <v>10</v>
      </c>
      <c r="H20" s="64" t="s">
        <v>85</v>
      </c>
      <c r="I20" s="316">
        <v>11</v>
      </c>
      <c r="J20" s="68">
        <v>5.9299999999999999E-2</v>
      </c>
      <c r="K20" s="13" t="s">
        <v>0</v>
      </c>
      <c r="L20" s="13"/>
      <c r="M20" s="13"/>
    </row>
    <row r="21" spans="1:13" ht="15.75">
      <c r="A21" s="65" t="str">
        <f>+'S&amp;D'!A28</f>
        <v>DTE Energy</v>
      </c>
      <c r="B21" s="93" t="str">
        <f>+'S&amp;D'!B28</f>
        <v>DTE</v>
      </c>
      <c r="C21" s="93" t="str">
        <f>+'S&amp;D'!C28</f>
        <v>Electric Utility - Cent</v>
      </c>
      <c r="D21" s="56">
        <f>+'Beta for CAPM'!D24</f>
        <v>2.5999999999999999E-2</v>
      </c>
      <c r="E21" s="36" t="str">
        <f>+'Beta for CAPM'!G24</f>
        <v>A</v>
      </c>
      <c r="F21" s="36" t="s">
        <v>86</v>
      </c>
      <c r="G21" s="316">
        <v>10</v>
      </c>
      <c r="H21" s="64" t="s">
        <v>85</v>
      </c>
      <c r="I21" s="316">
        <v>11</v>
      </c>
      <c r="J21" s="68">
        <v>5.9299999999999999E-2</v>
      </c>
      <c r="K21" s="13" t="s">
        <v>0</v>
      </c>
      <c r="L21" s="13"/>
      <c r="M21" s="13"/>
    </row>
    <row r="22" spans="1:13" ht="15.75">
      <c r="A22" s="65" t="str">
        <f>+'S&amp;D'!A29</f>
        <v>Duke Energy</v>
      </c>
      <c r="B22" s="93" t="str">
        <f>+'S&amp;D'!B29</f>
        <v>DUK</v>
      </c>
      <c r="C22" s="93" t="str">
        <f>+'S&amp;D'!C29</f>
        <v>Electric Utility - East</v>
      </c>
      <c r="D22" s="56">
        <f>+'Beta for CAPM'!D25</f>
        <v>0.1</v>
      </c>
      <c r="E22" s="36" t="str">
        <f>+'Beta for CAPM'!G25</f>
        <v>A</v>
      </c>
      <c r="F22" s="36" t="s">
        <v>86</v>
      </c>
      <c r="G22" s="316">
        <v>10</v>
      </c>
      <c r="H22" s="64" t="s">
        <v>85</v>
      </c>
      <c r="I22" s="316">
        <v>11</v>
      </c>
      <c r="J22" s="68">
        <v>5.9299999999999999E-2</v>
      </c>
      <c r="K22" s="14" t="s">
        <v>0</v>
      </c>
      <c r="L22" s="13"/>
      <c r="M22" s="13"/>
    </row>
    <row r="23" spans="1:13" ht="15.75">
      <c r="A23" s="65" t="str">
        <f>+'S&amp;D'!A30</f>
        <v>Entergy Corp</v>
      </c>
      <c r="B23" s="93" t="str">
        <f>+'S&amp;D'!B30</f>
        <v>ETR</v>
      </c>
      <c r="C23" s="93" t="str">
        <f>+'S&amp;D'!C30</f>
        <v>Electric Utility - Cent</v>
      </c>
      <c r="D23" s="56">
        <f>+'Beta for CAPM'!D26</f>
        <v>0.161</v>
      </c>
      <c r="E23" s="36" t="str">
        <f>+'Beta for CAPM'!G26</f>
        <v>B++</v>
      </c>
      <c r="F23" s="36" t="s">
        <v>86</v>
      </c>
      <c r="G23" s="316">
        <v>10</v>
      </c>
      <c r="H23" s="64" t="s">
        <v>85</v>
      </c>
      <c r="I23" s="316">
        <v>11</v>
      </c>
      <c r="J23" s="68">
        <v>5.9299999999999999E-2</v>
      </c>
      <c r="K23" s="13" t="s">
        <v>0</v>
      </c>
      <c r="L23" s="13"/>
      <c r="M23" s="13"/>
    </row>
    <row r="24" spans="1:13" ht="15.75">
      <c r="A24" s="65" t="str">
        <f>+'S&amp;D'!A31</f>
        <v>Evergy Inc</v>
      </c>
      <c r="B24" s="93" t="str">
        <f>+'S&amp;D'!B31</f>
        <v>EVRG</v>
      </c>
      <c r="C24" s="93" t="str">
        <f>+'S&amp;D'!C31</f>
        <v>Electric Utility - Cent</v>
      </c>
      <c r="D24" s="56">
        <f>+'Beta for CAPM'!D27</f>
        <v>5.8000000000000003E-2</v>
      </c>
      <c r="E24" s="36" t="s">
        <v>26</v>
      </c>
      <c r="F24" s="36" t="s">
        <v>93</v>
      </c>
      <c r="G24" s="316">
        <v>9</v>
      </c>
      <c r="H24" s="64" t="s">
        <v>85</v>
      </c>
      <c r="I24" s="316">
        <v>11</v>
      </c>
      <c r="J24" s="68">
        <v>5.9299999999999999E-2</v>
      </c>
      <c r="K24" s="13"/>
      <c r="L24" s="13"/>
      <c r="M24" s="13"/>
    </row>
    <row r="25" spans="1:13" ht="15.75">
      <c r="A25" s="65" t="str">
        <f>+'S&amp;D'!A32</f>
        <v>FirstEnergy Corp</v>
      </c>
      <c r="B25" s="93" t="str">
        <f>+'S&amp;D'!B32</f>
        <v>FE</v>
      </c>
      <c r="C25" s="93" t="str">
        <f>+'S&amp;D'!C32</f>
        <v>Electric Utility - East</v>
      </c>
      <c r="D25" s="56">
        <f>+'Beta for CAPM'!D28</f>
        <v>0.21</v>
      </c>
      <c r="E25" s="36" t="str">
        <f>+'Beta for CAPM'!G28</f>
        <v>B+</v>
      </c>
      <c r="F25" s="36" t="s">
        <v>94</v>
      </c>
      <c r="G25" s="316">
        <v>12</v>
      </c>
      <c r="H25" s="64" t="s">
        <v>90</v>
      </c>
      <c r="I25" s="316">
        <v>13</v>
      </c>
      <c r="J25" s="68">
        <v>7.3899999999999993E-2</v>
      </c>
      <c r="K25" s="13" t="s">
        <v>0</v>
      </c>
      <c r="L25" s="13"/>
      <c r="M25" s="13"/>
    </row>
    <row r="26" spans="1:13" ht="15.75">
      <c r="A26" s="65" t="str">
        <f>+'S&amp;D'!A33</f>
        <v>OGE Energy Corp.</v>
      </c>
      <c r="B26" s="93" t="str">
        <f>+'S&amp;D'!B33</f>
        <v>OGE</v>
      </c>
      <c r="C26" s="93" t="str">
        <f>+'S&amp;D'!C33</f>
        <v>Electric Utility - Cent</v>
      </c>
      <c r="D26" s="56">
        <f>+'Beta for CAPM'!D29</f>
        <v>0.12</v>
      </c>
      <c r="E26" s="36" t="str">
        <f>+'Beta for CAPM'!G29</f>
        <v>A</v>
      </c>
      <c r="F26" s="36" t="s">
        <v>86</v>
      </c>
      <c r="G26" s="316">
        <v>10</v>
      </c>
      <c r="H26" s="64" t="s">
        <v>84</v>
      </c>
      <c r="I26" s="316">
        <v>10</v>
      </c>
      <c r="J26" s="68">
        <v>5.9299999999999999E-2</v>
      </c>
      <c r="K26" s="13" t="s">
        <v>0</v>
      </c>
      <c r="L26" s="13"/>
      <c r="M26" s="13"/>
    </row>
    <row r="27" spans="1:13" ht="15.75">
      <c r="A27" s="65" t="str">
        <f>+'S&amp;D'!A34</f>
        <v>Otter Tail Corp</v>
      </c>
      <c r="B27" s="93" t="str">
        <f>+'S&amp;D'!B34</f>
        <v>OTTR</v>
      </c>
      <c r="C27" s="93" t="str">
        <f>+'S&amp;D'!C34</f>
        <v>Electric Utility - Cent</v>
      </c>
      <c r="D27" s="56">
        <f>+'Beta for CAPM'!D30</f>
        <v>0.20499999999999999</v>
      </c>
      <c r="E27" s="36" t="str">
        <f>+'Beta for CAPM'!G30</f>
        <v>A</v>
      </c>
      <c r="F27" s="36" t="s">
        <v>87</v>
      </c>
      <c r="G27" s="316">
        <v>11</v>
      </c>
      <c r="H27" s="64" t="s">
        <v>85</v>
      </c>
      <c r="I27" s="316">
        <v>11</v>
      </c>
      <c r="J27" s="68">
        <v>5.9299999999999999E-2</v>
      </c>
      <c r="K27" s="13" t="s">
        <v>0</v>
      </c>
      <c r="L27" s="13"/>
      <c r="M27" s="13"/>
    </row>
    <row r="28" spans="1:13" ht="15.75">
      <c r="A28" s="65" t="str">
        <f>+'S&amp;D'!A35</f>
        <v>PPL Corporation</v>
      </c>
      <c r="B28" s="93" t="str">
        <f>+'S&amp;D'!B35</f>
        <v>PPL</v>
      </c>
      <c r="C28" s="93" t="str">
        <f>+'S&amp;D'!C35</f>
        <v>Electric Utility - East</v>
      </c>
      <c r="D28" s="56">
        <f>+'Beta for CAPM'!D31</f>
        <v>0.21</v>
      </c>
      <c r="E28" s="36" t="str">
        <f>+'Beta for CAPM'!G31</f>
        <v>B++</v>
      </c>
      <c r="F28" s="36" t="s">
        <v>93</v>
      </c>
      <c r="G28" s="316">
        <v>9</v>
      </c>
      <c r="H28" s="64" t="s">
        <v>84</v>
      </c>
      <c r="I28" s="316">
        <v>10</v>
      </c>
      <c r="J28" s="68">
        <v>5.9299999999999999E-2</v>
      </c>
      <c r="K28" s="13" t="s">
        <v>0</v>
      </c>
      <c r="L28" s="13"/>
      <c r="M28" s="13"/>
    </row>
    <row r="29" spans="1:13" ht="15.75">
      <c r="A29" s="65" t="str">
        <f>+'S&amp;D'!A36</f>
        <v>The Southern Company</v>
      </c>
      <c r="B29" s="93" t="str">
        <f>+'S&amp;D'!B36</f>
        <v>SO</v>
      </c>
      <c r="C29" s="93" t="str">
        <f>+'S&amp;D'!C36</f>
        <v>Electric Utility - East</v>
      </c>
      <c r="D29" s="56">
        <f>+'Beta for CAPM'!D32</f>
        <v>0.15</v>
      </c>
      <c r="E29" s="36" t="str">
        <f>+'Beta for CAPM'!G32</f>
        <v>A</v>
      </c>
      <c r="F29" s="36" t="s">
        <v>86</v>
      </c>
      <c r="G29" s="316">
        <v>10</v>
      </c>
      <c r="H29" s="64" t="s">
        <v>85</v>
      </c>
      <c r="I29" s="316">
        <v>11</v>
      </c>
      <c r="J29" s="68">
        <v>5.9299999999999999E-2</v>
      </c>
      <c r="K29" s="13" t="s">
        <v>0</v>
      </c>
      <c r="L29" s="13"/>
      <c r="M29" s="13"/>
    </row>
    <row r="30" spans="1:13" ht="15.75">
      <c r="A30" s="65" t="str">
        <f>+'S&amp;D'!A37</f>
        <v>WEC Energy Group</v>
      </c>
      <c r="B30" s="93" t="str">
        <f>+'S&amp;D'!B37</f>
        <v>WEC</v>
      </c>
      <c r="C30" s="93" t="str">
        <f>+'S&amp;D'!C37</f>
        <v>Electric Utility - Cent</v>
      </c>
      <c r="D30" s="56">
        <f>+'Beta for CAPM'!D33</f>
        <v>0.19</v>
      </c>
      <c r="E30" s="36" t="str">
        <f>+'Beta for CAPM'!G33</f>
        <v>A+</v>
      </c>
      <c r="F30" s="36" t="s">
        <v>93</v>
      </c>
      <c r="G30" s="316">
        <v>9</v>
      </c>
      <c r="H30" s="64" t="s">
        <v>84</v>
      </c>
      <c r="I30" s="316">
        <v>10</v>
      </c>
      <c r="J30" s="68">
        <v>5.9299999999999999E-2</v>
      </c>
      <c r="K30" s="13" t="s">
        <v>0</v>
      </c>
      <c r="L30" s="13"/>
      <c r="M30" s="13"/>
    </row>
    <row r="31" spans="1:13" ht="15.75" thickBot="1">
      <c r="A31" s="13"/>
      <c r="B31" s="13"/>
      <c r="C31" s="45"/>
      <c r="D31" s="48"/>
      <c r="E31" s="48"/>
      <c r="F31" s="48"/>
      <c r="G31" s="311"/>
      <c r="H31" s="48" t="s">
        <v>64</v>
      </c>
      <c r="I31" s="48"/>
      <c r="J31" s="48"/>
      <c r="K31" s="13"/>
      <c r="L31" s="13"/>
      <c r="M31" s="13"/>
    </row>
    <row r="32" spans="1:13" ht="15.75" thickTop="1">
      <c r="A32" s="13"/>
      <c r="B32" s="13"/>
      <c r="E32" s="15" t="s">
        <v>65</v>
      </c>
      <c r="F32" s="36"/>
      <c r="G32" s="310">
        <v>12</v>
      </c>
      <c r="I32" s="310">
        <v>13</v>
      </c>
      <c r="J32" s="55">
        <v>7.2400000000000006E-2</v>
      </c>
      <c r="K32" s="13"/>
      <c r="L32" s="13"/>
      <c r="M32" s="13"/>
    </row>
    <row r="33" spans="1:13">
      <c r="A33" s="13"/>
      <c r="B33" s="13"/>
      <c r="E33" s="313" t="s">
        <v>66</v>
      </c>
      <c r="F33" s="138"/>
      <c r="G33" s="314">
        <v>6</v>
      </c>
      <c r="H33" s="267"/>
      <c r="I33" s="314">
        <v>7</v>
      </c>
      <c r="J33" s="315">
        <v>5.4800000000000001E-2</v>
      </c>
      <c r="K33" s="13"/>
      <c r="L33" s="13"/>
      <c r="M33" s="13"/>
    </row>
    <row r="34" spans="1:13">
      <c r="A34" s="13"/>
      <c r="B34" s="13"/>
      <c r="E34" s="15" t="s">
        <v>18</v>
      </c>
      <c r="F34" s="58" t="s">
        <v>0</v>
      </c>
      <c r="G34" s="240">
        <f>MEDIAN(G15:G30)</f>
        <v>10</v>
      </c>
      <c r="I34" s="240">
        <f>MEDIAN(I15:I30)</f>
        <v>11</v>
      </c>
      <c r="J34" s="58">
        <f>MEDIAN(J15:J30)</f>
        <v>5.9299999999999999E-2</v>
      </c>
      <c r="K34" s="13"/>
      <c r="L34" s="13"/>
      <c r="M34" s="13"/>
    </row>
    <row r="35" spans="1:13">
      <c r="A35" s="13"/>
      <c r="B35" s="13"/>
      <c r="D35" s="15" t="s">
        <v>0</v>
      </c>
      <c r="E35" s="15" t="s">
        <v>466</v>
      </c>
      <c r="F35" s="15"/>
      <c r="G35" s="241">
        <f>AVERAGE(G15:G30)</f>
        <v>10.0625</v>
      </c>
      <c r="I35" s="241">
        <f>AVERAGE(I15:I30)</f>
        <v>10.8125</v>
      </c>
      <c r="J35" s="58">
        <f>AVERAGE(J15:J30)</f>
        <v>6.0212500000000009E-2</v>
      </c>
      <c r="K35" s="13"/>
      <c r="L35" s="13"/>
      <c r="M35" s="13"/>
    </row>
    <row r="36" spans="1:13">
      <c r="A36" s="13"/>
      <c r="B36" s="13"/>
      <c r="D36" s="59" t="s">
        <v>0</v>
      </c>
      <c r="E36" s="15" t="s">
        <v>311</v>
      </c>
      <c r="F36" s="15"/>
      <c r="G36" s="241">
        <f>TRIMMEAN(G15:G30,(2/COUNT(G15:G30)))</f>
        <v>10</v>
      </c>
      <c r="I36" s="241">
        <f>TRIMMEAN(I15:I30,(2/COUNT(I15:I30)))</f>
        <v>10.714285714285714</v>
      </c>
      <c r="J36" s="58">
        <f>TRIMMEAN(J15:J30,(2/COUNT(J15:J30)))</f>
        <v>5.9300000000000012E-2</v>
      </c>
      <c r="K36" s="13"/>
      <c r="L36" s="13"/>
      <c r="M36" s="13"/>
    </row>
    <row r="37" spans="1:13" ht="15.75" thickBot="1">
      <c r="A37" s="13"/>
      <c r="B37" s="13"/>
      <c r="C37" s="13"/>
      <c r="D37" s="13"/>
      <c r="E37" s="15"/>
      <c r="F37" s="59"/>
      <c r="G37" s="13"/>
      <c r="H37" s="13"/>
      <c r="I37" s="13"/>
      <c r="J37" s="13"/>
      <c r="K37" s="13"/>
      <c r="L37" s="13"/>
      <c r="M37" s="13"/>
    </row>
    <row r="38" spans="1:13" ht="21" thickBot="1">
      <c r="A38" s="13"/>
      <c r="B38" s="13"/>
      <c r="C38" s="13"/>
      <c r="D38" s="13"/>
      <c r="E38" s="13"/>
      <c r="F38" s="210"/>
      <c r="G38" s="312"/>
      <c r="H38" s="211" t="s">
        <v>282</v>
      </c>
      <c r="I38" s="408">
        <v>11</v>
      </c>
      <c r="J38" s="422">
        <v>6.0199999999999997E-2</v>
      </c>
      <c r="K38" s="13"/>
      <c r="L38" s="13"/>
      <c r="M38" s="13"/>
    </row>
    <row r="39" spans="1:13">
      <c r="A39" s="13"/>
      <c r="B39" s="13"/>
      <c r="C39" s="13"/>
      <c r="D39" s="13"/>
      <c r="E39" s="13"/>
      <c r="F39" s="13"/>
      <c r="G39" s="13"/>
      <c r="H39" s="13"/>
      <c r="I39" s="13"/>
      <c r="J39" s="13"/>
      <c r="K39" s="13"/>
      <c r="L39" s="13"/>
      <c r="M39" s="13"/>
    </row>
    <row r="40" spans="1:13">
      <c r="A40" s="13"/>
      <c r="B40" s="13"/>
      <c r="C40" s="13"/>
      <c r="D40" s="13"/>
      <c r="E40" s="13"/>
      <c r="F40" s="13"/>
      <c r="G40" s="13"/>
      <c r="H40" s="13"/>
      <c r="I40" s="13"/>
      <c r="J40" s="13"/>
      <c r="K40" s="13"/>
      <c r="L40" s="13"/>
      <c r="M40" s="13"/>
    </row>
    <row r="41" spans="1:13">
      <c r="A41" s="13"/>
      <c r="B41" s="13"/>
      <c r="C41" s="13"/>
      <c r="D41" s="13"/>
      <c r="E41" s="13"/>
      <c r="F41" s="13"/>
      <c r="G41" s="13"/>
      <c r="H41" s="13"/>
      <c r="I41" s="13"/>
      <c r="J41" s="13"/>
      <c r="K41" s="13"/>
      <c r="L41" s="13"/>
      <c r="M41" s="13"/>
    </row>
    <row r="42" spans="1:13" ht="18.75" thickBot="1">
      <c r="A42" s="300" t="s">
        <v>183</v>
      </c>
      <c r="B42" s="13"/>
      <c r="G42" s="13"/>
      <c r="H42" s="13"/>
      <c r="I42" s="13"/>
      <c r="J42" s="13"/>
      <c r="K42" s="13"/>
      <c r="L42" s="13"/>
      <c r="M42" s="13"/>
    </row>
    <row r="43" spans="1:13" ht="18.75" thickBot="1">
      <c r="A43" s="398" t="s">
        <v>451</v>
      </c>
      <c r="B43" s="398" t="s">
        <v>384</v>
      </c>
      <c r="C43" s="398" t="s">
        <v>468</v>
      </c>
      <c r="D43" s="399" t="s">
        <v>469</v>
      </c>
      <c r="E43" s="399" t="s">
        <v>470</v>
      </c>
      <c r="F43" s="13"/>
      <c r="G43" s="13"/>
      <c r="H43" s="13"/>
      <c r="I43" s="13"/>
      <c r="M43" s="13"/>
    </row>
    <row r="44" spans="1:13" ht="15.75">
      <c r="A44" s="305" t="s">
        <v>389</v>
      </c>
      <c r="B44" s="306">
        <v>1</v>
      </c>
      <c r="C44" s="307" t="s">
        <v>390</v>
      </c>
      <c r="D44" s="400" t="s">
        <v>0</v>
      </c>
      <c r="E44" s="400" t="s">
        <v>0</v>
      </c>
      <c r="F44" s="13"/>
      <c r="G44" s="13"/>
      <c r="H44" s="13"/>
      <c r="I44" s="13"/>
      <c r="M44" s="13"/>
    </row>
    <row r="45" spans="1:13" ht="15.75">
      <c r="A45" s="60" t="s">
        <v>391</v>
      </c>
      <c r="B45" s="301">
        <v>2</v>
      </c>
      <c r="C45" s="308" t="s">
        <v>372</v>
      </c>
      <c r="D45" s="369">
        <v>4.8099999999999997E-2</v>
      </c>
      <c r="E45" s="369">
        <v>4.8099999999999997E-2</v>
      </c>
      <c r="F45" s="13" t="s">
        <v>236</v>
      </c>
      <c r="H45" s="13"/>
      <c r="I45" s="13"/>
      <c r="M45" s="13"/>
    </row>
    <row r="46" spans="1:13" ht="16.5" thickBot="1">
      <c r="A46" s="61" t="s">
        <v>392</v>
      </c>
      <c r="B46" s="303">
        <v>3</v>
      </c>
      <c r="C46" s="309" t="s">
        <v>393</v>
      </c>
      <c r="D46" s="401" t="s">
        <v>0</v>
      </c>
      <c r="E46" s="401" t="s">
        <v>0</v>
      </c>
      <c r="F46" s="13"/>
      <c r="H46" s="13"/>
      <c r="I46" s="13"/>
      <c r="M46" s="13"/>
    </row>
    <row r="47" spans="1:13" ht="15.75">
      <c r="A47" s="60" t="s">
        <v>182</v>
      </c>
      <c r="B47" s="301">
        <v>4</v>
      </c>
      <c r="C47" s="302" t="s">
        <v>373</v>
      </c>
      <c r="D47" s="369" t="s">
        <v>0</v>
      </c>
      <c r="E47" s="369" t="s">
        <v>0</v>
      </c>
      <c r="F47" s="13"/>
      <c r="H47" s="13"/>
      <c r="I47" s="13"/>
      <c r="M47" s="13"/>
    </row>
    <row r="48" spans="1:13" ht="15.75">
      <c r="A48" s="60" t="s">
        <v>181</v>
      </c>
      <c r="B48" s="301">
        <v>5</v>
      </c>
      <c r="C48" s="302" t="s">
        <v>374</v>
      </c>
      <c r="D48" s="369">
        <v>5.1299999999999998E-2</v>
      </c>
      <c r="E48" s="369">
        <v>5.4300000000000001E-2</v>
      </c>
      <c r="F48" s="13" t="s">
        <v>375</v>
      </c>
      <c r="H48" s="13"/>
      <c r="I48" s="13"/>
      <c r="M48" s="13"/>
    </row>
    <row r="49" spans="1:13" ht="16.5" thickBot="1">
      <c r="A49" s="61" t="s">
        <v>180</v>
      </c>
      <c r="B49" s="303">
        <v>6</v>
      </c>
      <c r="C49" s="304" t="s">
        <v>210</v>
      </c>
      <c r="D49" s="402" t="s">
        <v>0</v>
      </c>
      <c r="E49" s="402" t="s">
        <v>0</v>
      </c>
      <c r="F49" s="13"/>
      <c r="H49" s="13"/>
      <c r="I49" s="13"/>
      <c r="M49" s="13"/>
    </row>
    <row r="50" spans="1:13" ht="15.75">
      <c r="A50" s="60" t="s">
        <v>89</v>
      </c>
      <c r="B50" s="301">
        <v>7</v>
      </c>
      <c r="C50" s="302" t="s">
        <v>63</v>
      </c>
      <c r="D50" s="403" t="s">
        <v>0</v>
      </c>
      <c r="E50" s="403" t="s">
        <v>0</v>
      </c>
      <c r="H50" s="13"/>
      <c r="I50" s="13"/>
      <c r="M50" s="13"/>
    </row>
    <row r="51" spans="1:13" ht="15.75">
      <c r="A51" s="60" t="s">
        <v>179</v>
      </c>
      <c r="B51" s="301">
        <v>8</v>
      </c>
      <c r="C51" s="302" t="s">
        <v>24</v>
      </c>
      <c r="D51" s="370">
        <v>5.4800000000000001E-2</v>
      </c>
      <c r="E51" s="370">
        <v>5.6399999999999999E-2</v>
      </c>
      <c r="F51" s="13" t="s">
        <v>237</v>
      </c>
      <c r="H51" s="13"/>
      <c r="I51" s="13"/>
      <c r="J51" s="13"/>
      <c r="K51" s="13"/>
      <c r="L51" s="13"/>
      <c r="M51" s="13"/>
    </row>
    <row r="52" spans="1:13" ht="16.5" thickBot="1">
      <c r="A52" s="61" t="s">
        <v>91</v>
      </c>
      <c r="B52" s="303">
        <v>9</v>
      </c>
      <c r="C52" s="304" t="s">
        <v>93</v>
      </c>
      <c r="D52" s="402" t="s">
        <v>0</v>
      </c>
      <c r="E52" s="402" t="s">
        <v>0</v>
      </c>
      <c r="F52" s="13"/>
      <c r="H52" s="13"/>
      <c r="I52" s="13"/>
      <c r="J52" s="13"/>
      <c r="K52" s="13"/>
      <c r="L52" s="13"/>
      <c r="M52" s="13"/>
    </row>
    <row r="53" spans="1:13" ht="15.75">
      <c r="A53" s="60" t="s">
        <v>84</v>
      </c>
      <c r="B53" s="301">
        <v>10</v>
      </c>
      <c r="C53" s="302" t="s">
        <v>86</v>
      </c>
      <c r="D53" s="370" t="s">
        <v>0</v>
      </c>
      <c r="E53" s="370" t="s">
        <v>0</v>
      </c>
      <c r="H53" s="13"/>
      <c r="I53" s="13"/>
      <c r="J53" s="13"/>
      <c r="K53" s="13"/>
      <c r="L53" s="13"/>
      <c r="M53" s="13"/>
    </row>
    <row r="54" spans="1:13" ht="15.75">
      <c r="A54" s="60" t="s">
        <v>85</v>
      </c>
      <c r="B54" s="301">
        <v>11</v>
      </c>
      <c r="C54" s="302" t="s">
        <v>87</v>
      </c>
      <c r="D54" s="370">
        <v>5.9700000000000003E-2</v>
      </c>
      <c r="E54" s="370">
        <v>5.9299999999999999E-2</v>
      </c>
      <c r="F54" s="13" t="s">
        <v>240</v>
      </c>
      <c r="H54" s="13"/>
      <c r="I54" s="13"/>
      <c r="J54" s="13"/>
      <c r="K54" s="13"/>
      <c r="L54" s="13"/>
      <c r="M54" s="13"/>
    </row>
    <row r="55" spans="1:13" ht="16.5" thickBot="1">
      <c r="A55" s="61" t="s">
        <v>92</v>
      </c>
      <c r="B55" s="303">
        <v>12</v>
      </c>
      <c r="C55" s="304" t="s">
        <v>94</v>
      </c>
      <c r="D55" s="370" t="s">
        <v>0</v>
      </c>
      <c r="E55" s="370" t="s">
        <v>0</v>
      </c>
      <c r="F55" s="13"/>
      <c r="H55" s="13"/>
      <c r="I55" s="13"/>
      <c r="J55" s="13"/>
      <c r="K55" s="13"/>
      <c r="L55" s="13"/>
      <c r="M55" s="13"/>
    </row>
    <row r="56" spans="1:13" ht="15.75">
      <c r="A56" s="60" t="s">
        <v>90</v>
      </c>
      <c r="B56" s="301">
        <v>13</v>
      </c>
      <c r="C56" s="302" t="s">
        <v>376</v>
      </c>
      <c r="D56" s="403" t="s">
        <v>0</v>
      </c>
      <c r="E56" s="403" t="s">
        <v>0</v>
      </c>
      <c r="H56" s="13"/>
      <c r="I56" s="13"/>
      <c r="J56" s="13"/>
      <c r="K56" s="13"/>
      <c r="L56" s="13"/>
      <c r="M56" s="13"/>
    </row>
    <row r="57" spans="1:13" ht="15.75">
      <c r="A57" s="60" t="s">
        <v>178</v>
      </c>
      <c r="B57" s="301">
        <v>14</v>
      </c>
      <c r="C57" s="302" t="s">
        <v>377</v>
      </c>
      <c r="D57" s="369">
        <v>7.4440000000000006E-2</v>
      </c>
      <c r="E57" s="369">
        <v>7.3899999999999993E-2</v>
      </c>
      <c r="F57" s="13" t="s">
        <v>239</v>
      </c>
      <c r="H57" s="13"/>
      <c r="I57" s="13"/>
      <c r="J57" s="13"/>
      <c r="K57" s="13"/>
      <c r="L57" s="13"/>
      <c r="M57" s="13"/>
    </row>
    <row r="58" spans="1:13" ht="16.5" thickBot="1">
      <c r="A58" s="61" t="s">
        <v>177</v>
      </c>
      <c r="B58" s="303">
        <v>15</v>
      </c>
      <c r="C58" s="304" t="s">
        <v>378</v>
      </c>
      <c r="D58" s="401" t="s">
        <v>0</v>
      </c>
      <c r="E58" s="401" t="s">
        <v>0</v>
      </c>
      <c r="F58" s="13"/>
      <c r="H58" s="13"/>
      <c r="I58" s="13"/>
      <c r="J58" s="13"/>
      <c r="K58" s="13"/>
      <c r="L58" s="13"/>
      <c r="M58" s="13"/>
    </row>
    <row r="59" spans="1:13" ht="15.75">
      <c r="A59" s="60" t="s">
        <v>176</v>
      </c>
      <c r="B59" s="301">
        <v>16</v>
      </c>
      <c r="C59" s="302" t="s">
        <v>25</v>
      </c>
      <c r="D59" s="403"/>
      <c r="E59" s="403"/>
      <c r="H59" s="13"/>
      <c r="I59" s="13"/>
      <c r="J59" s="13"/>
      <c r="K59" s="13"/>
      <c r="L59" s="13"/>
      <c r="M59" s="13"/>
    </row>
    <row r="60" spans="1:13" ht="15.75">
      <c r="A60" s="60" t="s">
        <v>175</v>
      </c>
      <c r="B60" s="301">
        <v>17</v>
      </c>
      <c r="C60" s="302" t="s">
        <v>126</v>
      </c>
      <c r="D60" s="370">
        <v>8.2299999999999998E-2</v>
      </c>
      <c r="E60" s="370">
        <v>8.1699999999999995E-2</v>
      </c>
      <c r="F60" s="13" t="s">
        <v>238</v>
      </c>
      <c r="H60" s="13"/>
      <c r="I60" s="13"/>
      <c r="J60" s="13"/>
      <c r="K60" s="13"/>
      <c r="L60" s="13"/>
      <c r="M60" s="13"/>
    </row>
    <row r="61" spans="1:13" ht="16.5" thickBot="1">
      <c r="A61" s="61" t="s">
        <v>174</v>
      </c>
      <c r="B61" s="303">
        <v>18</v>
      </c>
      <c r="C61" s="304" t="s">
        <v>379</v>
      </c>
      <c r="D61" s="401"/>
      <c r="E61" s="401"/>
      <c r="F61" s="13"/>
      <c r="H61" s="13"/>
      <c r="I61" s="13"/>
      <c r="J61" s="13"/>
      <c r="K61" s="13"/>
      <c r="L61" s="13"/>
      <c r="M61" s="13"/>
    </row>
    <row r="62" spans="1:13" ht="15.75">
      <c r="A62" s="60" t="s">
        <v>173</v>
      </c>
      <c r="B62" s="301">
        <v>19</v>
      </c>
      <c r="C62" s="302" t="s">
        <v>380</v>
      </c>
      <c r="D62" s="370"/>
      <c r="E62" s="370"/>
      <c r="H62" s="13"/>
      <c r="I62" s="13"/>
      <c r="J62" s="13"/>
      <c r="K62" s="13"/>
      <c r="L62" s="13"/>
      <c r="M62" s="13"/>
    </row>
    <row r="63" spans="1:13" ht="15.75">
      <c r="A63" s="60" t="s">
        <v>172</v>
      </c>
      <c r="B63" s="301">
        <v>20</v>
      </c>
      <c r="C63" s="302" t="s">
        <v>381</v>
      </c>
      <c r="D63" s="370">
        <v>9.0200000000000002E-2</v>
      </c>
      <c r="E63" s="370">
        <v>8.9499999999999996E-2</v>
      </c>
      <c r="F63" s="13" t="s">
        <v>235</v>
      </c>
      <c r="H63" s="13"/>
      <c r="I63" s="13"/>
      <c r="J63" s="13"/>
      <c r="K63" s="13"/>
      <c r="L63" s="13"/>
      <c r="M63" s="13"/>
    </row>
    <row r="64" spans="1:13" ht="16.5" thickBot="1">
      <c r="A64" s="61" t="s">
        <v>171</v>
      </c>
      <c r="B64" s="303">
        <v>21</v>
      </c>
      <c r="C64" s="424" t="s">
        <v>382</v>
      </c>
      <c r="D64" s="402"/>
      <c r="E64" s="402"/>
      <c r="F64" s="13"/>
      <c r="H64" s="13"/>
      <c r="I64" s="13"/>
      <c r="J64" s="13"/>
      <c r="K64" s="13"/>
      <c r="L64" s="13"/>
    </row>
    <row r="65" spans="1:6" ht="15.75">
      <c r="A65" s="423" t="s">
        <v>394</v>
      </c>
      <c r="B65" s="426">
        <v>22</v>
      </c>
      <c r="C65" s="429" t="s">
        <v>395</v>
      </c>
      <c r="D65" s="404"/>
      <c r="E65" s="404"/>
    </row>
    <row r="66" spans="1:6" ht="15.75">
      <c r="A66" s="423" t="s">
        <v>396</v>
      </c>
      <c r="B66" s="427">
        <v>23</v>
      </c>
      <c r="C66" s="430" t="s">
        <v>383</v>
      </c>
      <c r="D66" s="405"/>
      <c r="E66" s="405"/>
      <c r="F66" s="13" t="s">
        <v>233</v>
      </c>
    </row>
    <row r="67" spans="1:6" ht="16.5" thickBot="1">
      <c r="A67" s="425" t="s">
        <v>397</v>
      </c>
      <c r="B67" s="428">
        <v>24</v>
      </c>
      <c r="C67" s="424" t="s">
        <v>398</v>
      </c>
      <c r="D67" s="406"/>
      <c r="E67" s="406"/>
      <c r="F67" s="13"/>
    </row>
    <row r="68" spans="1:6" ht="16.5" thickBot="1">
      <c r="A68" s="61" t="s">
        <v>313</v>
      </c>
      <c r="B68" s="303">
        <v>25</v>
      </c>
      <c r="C68" s="61" t="s">
        <v>127</v>
      </c>
      <c r="D68" s="407"/>
      <c r="E68" s="407"/>
      <c r="F68" s="13" t="s">
        <v>234</v>
      </c>
    </row>
  </sheetData>
  <pageMargins left="0.25" right="0.25" top="0.75" bottom="0.75" header="0.3" footer="0.3"/>
  <pageSetup scale="4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45"/>
  <sheetViews>
    <sheetView view="pageBreakPreview" topLeftCell="A3" zoomScale="60" zoomScaleNormal="80" workbookViewId="0">
      <selection activeCell="I5" sqref="I5"/>
    </sheetView>
  </sheetViews>
  <sheetFormatPr defaultRowHeight="15"/>
  <cols>
    <col min="1" max="1" width="48.85546875" customWidth="1"/>
    <col min="2" max="2" width="11.5703125" customWidth="1"/>
    <col min="3" max="3" width="19.85546875" customWidth="1"/>
    <col min="4" max="4" width="24.7109375" customWidth="1"/>
    <col min="5" max="5" width="22.7109375" customWidth="1"/>
    <col min="6" max="7" width="21.28515625" customWidth="1"/>
    <col min="8" max="8" width="14.8554687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5" t="s">
        <v>1</v>
      </c>
      <c r="B1" s="13"/>
      <c r="C1" s="13"/>
      <c r="D1" s="13"/>
      <c r="E1" s="13"/>
      <c r="F1" s="13"/>
      <c r="G1" s="13"/>
      <c r="H1" s="13"/>
      <c r="I1" s="13"/>
      <c r="J1" s="13"/>
      <c r="K1" s="13"/>
      <c r="L1" s="13"/>
      <c r="M1" s="13"/>
      <c r="N1" s="13"/>
    </row>
    <row r="2" spans="1:14" ht="15.75">
      <c r="A2" s="65" t="s">
        <v>9</v>
      </c>
      <c r="B2" s="13"/>
      <c r="C2" s="13"/>
      <c r="D2" s="13"/>
      <c r="E2" s="13"/>
      <c r="F2" s="13"/>
      <c r="G2" s="13"/>
      <c r="H2" s="13"/>
      <c r="I2" s="13"/>
      <c r="J2" s="13"/>
      <c r="K2" s="13"/>
      <c r="L2" s="13"/>
      <c r="M2" s="13"/>
      <c r="N2" s="13"/>
    </row>
    <row r="3" spans="1:14">
      <c r="A3" s="27" t="s">
        <v>97</v>
      </c>
      <c r="B3" s="13"/>
      <c r="C3" s="13"/>
      <c r="D3" s="13"/>
      <c r="E3" s="13"/>
      <c r="F3" s="13"/>
      <c r="G3" s="13"/>
      <c r="H3" s="13"/>
      <c r="I3" s="13"/>
      <c r="J3" s="13"/>
      <c r="K3" s="13"/>
      <c r="L3" s="13"/>
      <c r="M3" s="13"/>
      <c r="N3" s="13"/>
    </row>
    <row r="4" spans="1:14">
      <c r="A4" s="13"/>
      <c r="B4" s="13"/>
      <c r="C4" s="13"/>
      <c r="D4" s="28" t="s">
        <v>0</v>
      </c>
      <c r="E4" s="13"/>
      <c r="F4" s="13"/>
      <c r="G4" s="13"/>
      <c r="H4" s="13"/>
      <c r="I4" s="13"/>
      <c r="J4" s="13"/>
      <c r="K4" s="13"/>
      <c r="L4" s="13"/>
      <c r="M4" s="13"/>
      <c r="N4" s="13"/>
    </row>
    <row r="5" spans="1:14" ht="16.5" thickBot="1">
      <c r="A5" s="65"/>
      <c r="B5" s="13"/>
      <c r="C5" s="13"/>
      <c r="D5" s="13"/>
      <c r="E5" s="13"/>
      <c r="F5" s="13"/>
      <c r="G5" s="13"/>
      <c r="H5" s="13"/>
      <c r="I5" s="13"/>
      <c r="J5" s="13"/>
      <c r="K5" s="13"/>
      <c r="L5" s="13"/>
      <c r="M5" s="13"/>
      <c r="N5" s="13"/>
    </row>
    <row r="6" spans="1:14" ht="24" customHeight="1" thickBot="1">
      <c r="A6" s="289" t="str">
        <f>+'S&amp;D'!A12</f>
        <v>Electric Utilities</v>
      </c>
      <c r="B6" s="215"/>
      <c r="C6" s="13"/>
      <c r="D6" s="13"/>
      <c r="E6" s="13"/>
      <c r="F6" s="13"/>
      <c r="G6" s="13"/>
      <c r="H6" s="13"/>
      <c r="I6" s="13"/>
      <c r="J6" s="13"/>
      <c r="K6" s="13"/>
      <c r="L6" s="13"/>
      <c r="M6" s="13"/>
      <c r="N6" s="13"/>
    </row>
    <row r="7" spans="1:14" ht="15.75">
      <c r="A7" s="65"/>
      <c r="B7" s="13"/>
      <c r="C7" s="13"/>
      <c r="D7" s="13"/>
      <c r="E7" s="13"/>
      <c r="F7" s="13"/>
      <c r="G7" s="13"/>
      <c r="H7" s="13"/>
      <c r="I7" s="13"/>
      <c r="J7" s="13"/>
      <c r="K7" s="13"/>
      <c r="L7" s="13"/>
      <c r="M7" s="13"/>
      <c r="N7" s="13"/>
    </row>
    <row r="8" spans="1:14" ht="16.5" thickBot="1">
      <c r="A8" s="65"/>
      <c r="B8" s="30"/>
      <c r="C8" s="30"/>
      <c r="D8" s="30"/>
      <c r="E8" s="30"/>
      <c r="F8" s="13"/>
      <c r="G8" s="13"/>
      <c r="H8" s="30"/>
      <c r="I8" s="30"/>
      <c r="J8" s="30"/>
      <c r="K8" s="30"/>
      <c r="L8" s="30"/>
      <c r="M8" s="30"/>
      <c r="N8" s="13"/>
    </row>
    <row r="9" spans="1:14" ht="20.25">
      <c r="B9" s="13"/>
      <c r="C9" s="13"/>
      <c r="D9" s="33" t="s">
        <v>358</v>
      </c>
      <c r="E9" s="13"/>
      <c r="F9" s="13"/>
      <c r="G9" s="13"/>
      <c r="H9" s="13"/>
      <c r="I9" s="13"/>
      <c r="J9" s="13"/>
      <c r="K9" s="71" t="s">
        <v>359</v>
      </c>
      <c r="L9" s="13"/>
      <c r="M9" s="13"/>
      <c r="N9" s="13"/>
    </row>
    <row r="10" spans="1:14" ht="18.75" thickBot="1">
      <c r="A10" s="32"/>
      <c r="B10" s="30"/>
      <c r="C10" s="30"/>
      <c r="D10" s="34" t="s">
        <v>111</v>
      </c>
      <c r="E10" s="30"/>
      <c r="F10" s="13"/>
      <c r="G10" s="13"/>
      <c r="H10" s="30"/>
      <c r="I10" s="30"/>
      <c r="J10" s="30"/>
      <c r="K10" s="34" t="s">
        <v>111</v>
      </c>
      <c r="L10" s="30"/>
      <c r="M10" s="30"/>
      <c r="N10" s="13"/>
    </row>
    <row r="11" spans="1:14" ht="15.75" thickBot="1">
      <c r="A11" s="35" t="s">
        <v>0</v>
      </c>
      <c r="B11" s="35" t="s">
        <v>0</v>
      </c>
      <c r="C11" s="35" t="s">
        <v>0</v>
      </c>
      <c r="D11" s="35" t="s">
        <v>0</v>
      </c>
      <c r="E11" s="35" t="s">
        <v>0</v>
      </c>
      <c r="F11" s="35" t="s">
        <v>0</v>
      </c>
      <c r="G11" s="42"/>
      <c r="H11" s="288"/>
      <c r="I11" s="35" t="s">
        <v>0</v>
      </c>
      <c r="J11" s="30"/>
      <c r="K11" s="30"/>
      <c r="L11" s="30"/>
      <c r="M11" s="30"/>
      <c r="N11" s="13"/>
    </row>
    <row r="12" spans="1:14">
      <c r="A12" s="36" t="s">
        <v>0</v>
      </c>
      <c r="B12" s="36" t="s">
        <v>3</v>
      </c>
      <c r="C12" s="36" t="s">
        <v>0</v>
      </c>
      <c r="D12" s="36" t="s">
        <v>147</v>
      </c>
      <c r="E12" s="36" t="s">
        <v>147</v>
      </c>
      <c r="F12" s="36" t="s">
        <v>27</v>
      </c>
      <c r="G12" s="36"/>
      <c r="H12" s="36" t="s">
        <v>3</v>
      </c>
      <c r="I12" s="36" t="s">
        <v>0</v>
      </c>
      <c r="J12" s="36" t="s">
        <v>147</v>
      </c>
      <c r="K12" s="36"/>
      <c r="L12" s="36" t="s">
        <v>147</v>
      </c>
      <c r="M12" s="36" t="s">
        <v>27</v>
      </c>
      <c r="N12" s="13"/>
    </row>
    <row r="13" spans="1:14" ht="15.75" thickBot="1">
      <c r="A13" s="38" t="s">
        <v>2</v>
      </c>
      <c r="B13" s="38" t="s">
        <v>4</v>
      </c>
      <c r="C13" s="38" t="s">
        <v>28</v>
      </c>
      <c r="D13" s="38" t="s">
        <v>0</v>
      </c>
      <c r="E13" s="38" t="s">
        <v>29</v>
      </c>
      <c r="F13" s="38" t="s">
        <v>30</v>
      </c>
      <c r="G13" s="36"/>
      <c r="H13" s="38" t="s">
        <v>4</v>
      </c>
      <c r="I13" s="38" t="s">
        <v>28</v>
      </c>
      <c r="J13" s="38" t="s">
        <v>0</v>
      </c>
      <c r="K13" s="38"/>
      <c r="L13" s="38" t="s">
        <v>29</v>
      </c>
      <c r="M13" s="38" t="s">
        <v>30</v>
      </c>
      <c r="N13" s="13"/>
    </row>
    <row r="14" spans="1:14">
      <c r="A14" s="40" t="s">
        <v>0</v>
      </c>
      <c r="B14" s="40" t="s">
        <v>0</v>
      </c>
      <c r="C14" s="41" t="s">
        <v>150</v>
      </c>
      <c r="D14" s="40" t="s">
        <v>151</v>
      </c>
      <c r="E14" s="40" t="s">
        <v>0</v>
      </c>
      <c r="F14" s="40" t="s">
        <v>0</v>
      </c>
      <c r="G14" s="42"/>
      <c r="H14" s="40" t="s">
        <v>0</v>
      </c>
      <c r="I14" s="41" t="s">
        <v>150</v>
      </c>
      <c r="J14" s="40" t="s">
        <v>152</v>
      </c>
      <c r="K14" s="40"/>
      <c r="L14" s="40" t="s">
        <v>0</v>
      </c>
      <c r="M14" s="40" t="s">
        <v>0</v>
      </c>
      <c r="N14" s="13"/>
    </row>
    <row r="15" spans="1:14">
      <c r="A15" s="36"/>
      <c r="B15" s="36"/>
      <c r="C15" s="36"/>
      <c r="D15" s="36"/>
      <c r="E15" s="36"/>
      <c r="F15" s="36"/>
      <c r="G15" s="36"/>
      <c r="H15" s="36"/>
      <c r="I15" s="36"/>
      <c r="J15" s="36"/>
      <c r="K15" s="36"/>
      <c r="L15" s="36"/>
      <c r="M15" s="36"/>
      <c r="N15" s="13"/>
    </row>
    <row r="16" spans="1:14">
      <c r="A16" s="13"/>
      <c r="B16" s="13"/>
      <c r="C16" s="13"/>
      <c r="D16" s="13"/>
      <c r="E16" s="13"/>
      <c r="F16" s="13"/>
      <c r="G16" s="13"/>
      <c r="H16" s="13"/>
      <c r="I16" s="13"/>
      <c r="J16" s="13"/>
      <c r="K16" s="13"/>
      <c r="L16" s="13"/>
      <c r="M16" s="13"/>
      <c r="N16" s="13"/>
    </row>
    <row r="17" spans="1:14" ht="15.75">
      <c r="A17" s="45" t="s">
        <v>320</v>
      </c>
      <c r="B17" s="36" t="s">
        <v>53</v>
      </c>
      <c r="C17" s="62">
        <f>+'S&amp;D'!G22</f>
        <v>64.510000000000005</v>
      </c>
      <c r="D17" s="64">
        <v>7.7</v>
      </c>
      <c r="E17" s="72">
        <f>C17/D17</f>
        <v>8.3779220779220775</v>
      </c>
      <c r="F17" s="59">
        <f t="shared" ref="F17:F32" si="0">1/E17</f>
        <v>0.1193613393272361</v>
      </c>
      <c r="G17" s="59"/>
      <c r="H17" s="36" t="str">
        <f>+B17</f>
        <v>ALE</v>
      </c>
      <c r="I17" s="62">
        <f>+C17</f>
        <v>64.510000000000005</v>
      </c>
      <c r="J17" s="64">
        <v>8.3000000000000007</v>
      </c>
      <c r="K17" s="64"/>
      <c r="L17" s="72">
        <f>I17/J17</f>
        <v>7.7722891566265062</v>
      </c>
      <c r="M17" s="59">
        <f t="shared" ref="M17:M32" si="1">1/L17</f>
        <v>0.12866222291117657</v>
      </c>
      <c r="N17" s="13"/>
    </row>
    <row r="18" spans="1:14" ht="15.75">
      <c r="A18" s="45" t="s">
        <v>44</v>
      </c>
      <c r="B18" s="36" t="s">
        <v>54</v>
      </c>
      <c r="C18" s="62">
        <f>+'S&amp;D'!G23</f>
        <v>55.21</v>
      </c>
      <c r="D18" s="64">
        <v>5.4</v>
      </c>
      <c r="E18" s="72">
        <f t="shared" ref="E18:E32" si="2">C18/D18</f>
        <v>10.224074074074073</v>
      </c>
      <c r="F18" s="59">
        <f t="shared" si="0"/>
        <v>9.7808368049266445E-2</v>
      </c>
      <c r="G18" s="59"/>
      <c r="H18" s="36" t="str">
        <f t="shared" ref="H18:H32" si="3">+B18</f>
        <v>LNT</v>
      </c>
      <c r="I18" s="62">
        <f t="shared" ref="I18:I32" si="4">+C18</f>
        <v>55.21</v>
      </c>
      <c r="J18" s="64">
        <v>5.55</v>
      </c>
      <c r="K18" s="64"/>
      <c r="L18" s="72">
        <f t="shared" ref="L18:L32" si="5">I18/J18</f>
        <v>9.9477477477477478</v>
      </c>
      <c r="M18" s="59">
        <f t="shared" si="1"/>
        <v>0.10052526716174606</v>
      </c>
      <c r="N18" s="13"/>
    </row>
    <row r="19" spans="1:14" ht="15.75">
      <c r="A19" s="45" t="s">
        <v>45</v>
      </c>
      <c r="B19" s="36" t="s">
        <v>58</v>
      </c>
      <c r="C19" s="62">
        <f>+'S&amp;D'!G24</f>
        <v>88.92</v>
      </c>
      <c r="D19" s="64">
        <v>9.0399999999999991</v>
      </c>
      <c r="E19" s="72">
        <f t="shared" si="2"/>
        <v>9.8362831858407098</v>
      </c>
      <c r="F19" s="59">
        <f t="shared" si="0"/>
        <v>0.10166441745389111</v>
      </c>
      <c r="G19" s="59"/>
      <c r="H19" s="36" t="str">
        <f t="shared" si="3"/>
        <v>AEE</v>
      </c>
      <c r="I19" s="62">
        <f t="shared" si="4"/>
        <v>88.92</v>
      </c>
      <c r="J19" s="64">
        <v>9.5</v>
      </c>
      <c r="K19" s="64"/>
      <c r="L19" s="72">
        <f t="shared" si="5"/>
        <v>9.36</v>
      </c>
      <c r="M19" s="59">
        <f t="shared" si="1"/>
        <v>0.10683760683760685</v>
      </c>
      <c r="N19" s="13"/>
    </row>
    <row r="20" spans="1:14" ht="15.75">
      <c r="A20" s="45" t="s">
        <v>46</v>
      </c>
      <c r="B20" s="36" t="s">
        <v>59</v>
      </c>
      <c r="C20" s="62">
        <f>+'S&amp;D'!G25</f>
        <v>94.95</v>
      </c>
      <c r="D20" s="64">
        <v>10.72</v>
      </c>
      <c r="E20" s="72">
        <f>C20/D20</f>
        <v>8.8572761194029841</v>
      </c>
      <c r="F20" s="59">
        <f t="shared" si="0"/>
        <v>0.1129015271195366</v>
      </c>
      <c r="G20" s="59"/>
      <c r="H20" s="36" t="str">
        <f t="shared" si="3"/>
        <v>AEP</v>
      </c>
      <c r="I20" s="62">
        <f t="shared" si="4"/>
        <v>94.95</v>
      </c>
      <c r="J20" s="64">
        <v>11</v>
      </c>
      <c r="K20" s="64"/>
      <c r="L20" s="72">
        <f t="shared" si="5"/>
        <v>8.6318181818181827</v>
      </c>
      <c r="M20" s="59">
        <f t="shared" si="1"/>
        <v>0.11585044760400209</v>
      </c>
      <c r="N20" s="13"/>
    </row>
    <row r="21" spans="1:14" ht="15.75">
      <c r="A21" s="45" t="s">
        <v>47</v>
      </c>
      <c r="B21" s="36" t="s">
        <v>60</v>
      </c>
      <c r="C21" s="62">
        <f>+'S&amp;D'!G26</f>
        <v>29.99</v>
      </c>
      <c r="D21" s="64">
        <v>3.45</v>
      </c>
      <c r="E21" s="72">
        <f t="shared" si="2"/>
        <v>8.6927536231884055</v>
      </c>
      <c r="F21" s="59">
        <f t="shared" si="0"/>
        <v>0.1150383461153718</v>
      </c>
      <c r="G21" s="59"/>
      <c r="H21" s="36" t="str">
        <f t="shared" si="3"/>
        <v>CNP</v>
      </c>
      <c r="I21" s="62">
        <f t="shared" si="4"/>
        <v>29.99</v>
      </c>
      <c r="J21" s="64">
        <v>3.65</v>
      </c>
      <c r="K21" s="64"/>
      <c r="L21" s="72">
        <f t="shared" si="5"/>
        <v>8.2164383561643834</v>
      </c>
      <c r="M21" s="59">
        <f t="shared" si="1"/>
        <v>0.12170723574524842</v>
      </c>
      <c r="N21" s="13"/>
    </row>
    <row r="22" spans="1:14" ht="15.75">
      <c r="A22" s="45" t="s">
        <v>48</v>
      </c>
      <c r="B22" s="36" t="s">
        <v>55</v>
      </c>
      <c r="C22" s="62">
        <f>+'S&amp;D'!G27</f>
        <v>63.33</v>
      </c>
      <c r="D22" s="64">
        <v>6.7</v>
      </c>
      <c r="E22" s="72">
        <f t="shared" si="2"/>
        <v>9.4522388059701488</v>
      </c>
      <c r="F22" s="59">
        <f t="shared" si="0"/>
        <v>0.1057950418443076</v>
      </c>
      <c r="G22" s="59"/>
      <c r="H22" s="36" t="str">
        <f t="shared" si="3"/>
        <v>CMS</v>
      </c>
      <c r="I22" s="62">
        <f t="shared" si="4"/>
        <v>63.33</v>
      </c>
      <c r="J22" s="64">
        <v>7.15</v>
      </c>
      <c r="K22" s="64"/>
      <c r="L22" s="72">
        <f t="shared" si="5"/>
        <v>8.8573426573426559</v>
      </c>
      <c r="M22" s="59">
        <f t="shared" si="1"/>
        <v>0.11290067898310439</v>
      </c>
      <c r="N22" s="13"/>
    </row>
    <row r="23" spans="1:14" ht="15.75">
      <c r="A23" s="45" t="s">
        <v>49</v>
      </c>
      <c r="B23" s="36" t="s">
        <v>56</v>
      </c>
      <c r="C23" s="62">
        <f>+'S&amp;D'!G28</f>
        <v>117.53</v>
      </c>
      <c r="D23" s="64">
        <v>12.65</v>
      </c>
      <c r="E23" s="72">
        <f t="shared" si="2"/>
        <v>9.290909090909091</v>
      </c>
      <c r="F23" s="59">
        <f t="shared" si="0"/>
        <v>0.10763209393346379</v>
      </c>
      <c r="G23" s="59"/>
      <c r="H23" s="36" t="str">
        <f t="shared" si="3"/>
        <v>DTE</v>
      </c>
      <c r="I23" s="62">
        <f t="shared" si="4"/>
        <v>117.53</v>
      </c>
      <c r="J23" s="64">
        <v>14.05</v>
      </c>
      <c r="K23" s="64"/>
      <c r="L23" s="72">
        <f t="shared" si="5"/>
        <v>8.3651245551601416</v>
      </c>
      <c r="M23" s="59">
        <f t="shared" si="1"/>
        <v>0.11954394622649538</v>
      </c>
      <c r="N23" s="13"/>
    </row>
    <row r="24" spans="1:14" ht="15.75">
      <c r="A24" s="45" t="s">
        <v>74</v>
      </c>
      <c r="B24" s="36" t="s">
        <v>67</v>
      </c>
      <c r="C24" s="62">
        <f>+'S&amp;D'!G29</f>
        <v>102.99</v>
      </c>
      <c r="D24" s="64">
        <v>13.25</v>
      </c>
      <c r="E24" s="72">
        <f t="shared" ref="E24" si="6">C24/D24</f>
        <v>7.7728301886792446</v>
      </c>
      <c r="F24" s="59">
        <f t="shared" ref="F24" si="7">1/E24</f>
        <v>0.12865326730750559</v>
      </c>
      <c r="G24" s="59"/>
      <c r="H24" s="36" t="str">
        <f t="shared" si="3"/>
        <v>DUK</v>
      </c>
      <c r="I24" s="62">
        <f t="shared" si="4"/>
        <v>102.99</v>
      </c>
      <c r="J24" s="64">
        <v>14</v>
      </c>
      <c r="K24" s="64"/>
      <c r="L24" s="72">
        <f t="shared" si="5"/>
        <v>7.3564285714285713</v>
      </c>
      <c r="M24" s="59">
        <f t="shared" si="1"/>
        <v>0.13593552772113798</v>
      </c>
      <c r="N24" s="13"/>
    </row>
    <row r="25" spans="1:14" ht="15.75">
      <c r="A25" s="45" t="s">
        <v>68</v>
      </c>
      <c r="B25" s="36" t="s">
        <v>69</v>
      </c>
      <c r="C25" s="62">
        <f>+'S&amp;D'!G30</f>
        <v>112.5</v>
      </c>
      <c r="D25" s="64">
        <v>15.51</v>
      </c>
      <c r="E25" s="72">
        <f t="shared" ref="E25:E27" si="8">C25/D25</f>
        <v>7.2533849129593815</v>
      </c>
      <c r="F25" s="59">
        <f t="shared" ref="F25:F27" si="9">1/E25</f>
        <v>0.13786666666666667</v>
      </c>
      <c r="G25" s="59"/>
      <c r="H25" s="36" t="str">
        <f t="shared" si="3"/>
        <v>ETR</v>
      </c>
      <c r="I25" s="62">
        <f t="shared" si="4"/>
        <v>112.5</v>
      </c>
      <c r="J25" s="64">
        <v>16.95</v>
      </c>
      <c r="K25" s="64"/>
      <c r="L25" s="72">
        <f t="shared" si="5"/>
        <v>6.6371681415929205</v>
      </c>
      <c r="M25" s="59">
        <f t="shared" si="1"/>
        <v>0.15066666666666667</v>
      </c>
      <c r="N25" s="13"/>
    </row>
    <row r="26" spans="1:14" ht="15.75">
      <c r="A26" s="45" t="s">
        <v>318</v>
      </c>
      <c r="B26" s="36" t="s">
        <v>319</v>
      </c>
      <c r="C26" s="62">
        <f>+'S&amp;D'!G31</f>
        <v>62.93</v>
      </c>
      <c r="D26" s="64">
        <v>7.34</v>
      </c>
      <c r="E26" s="72">
        <f t="shared" ref="E26" si="10">C26/D26</f>
        <v>8.5735694822888284</v>
      </c>
      <c r="F26" s="59">
        <f t="shared" ref="F26" si="11">1/E26</f>
        <v>0.11663753376767837</v>
      </c>
      <c r="G26" s="59"/>
      <c r="H26" s="36" t="str">
        <f t="shared" si="3"/>
        <v>EVRG</v>
      </c>
      <c r="I26" s="62">
        <f t="shared" si="4"/>
        <v>62.93</v>
      </c>
      <c r="J26" s="64">
        <v>7.95</v>
      </c>
      <c r="K26" s="64"/>
      <c r="L26" s="72">
        <f t="shared" ref="L26" si="12">I26/J26</f>
        <v>7.9157232704402514</v>
      </c>
      <c r="M26" s="59">
        <f t="shared" ref="M26" si="13">1/L26</f>
        <v>0.12633084379469253</v>
      </c>
      <c r="N26" s="13"/>
    </row>
    <row r="27" spans="1:14" ht="15.75">
      <c r="A27" s="45" t="s">
        <v>78</v>
      </c>
      <c r="B27" s="36" t="s">
        <v>79</v>
      </c>
      <c r="C27" s="62">
        <f>+'S&amp;D'!G32</f>
        <v>41.94</v>
      </c>
      <c r="D27" s="64">
        <v>5</v>
      </c>
      <c r="E27" s="72">
        <f t="shared" si="8"/>
        <v>8.3879999999999999</v>
      </c>
      <c r="F27" s="59">
        <f t="shared" si="9"/>
        <v>0.11921793037672866</v>
      </c>
      <c r="G27" s="59"/>
      <c r="H27" s="36" t="str">
        <f t="shared" si="3"/>
        <v>FE</v>
      </c>
      <c r="I27" s="62">
        <f t="shared" si="4"/>
        <v>41.94</v>
      </c>
      <c r="J27" s="64">
        <v>5.25</v>
      </c>
      <c r="K27" s="64"/>
      <c r="L27" s="72">
        <f t="shared" si="5"/>
        <v>7.9885714285714284</v>
      </c>
      <c r="M27" s="59">
        <f t="shared" si="1"/>
        <v>0.12517882689556509</v>
      </c>
      <c r="N27" s="13"/>
    </row>
    <row r="28" spans="1:14" ht="15.75">
      <c r="A28" s="45" t="s">
        <v>50</v>
      </c>
      <c r="B28" s="36" t="s">
        <v>57</v>
      </c>
      <c r="C28" s="62">
        <f>+'S&amp;D'!G33</f>
        <v>39.549999999999997</v>
      </c>
      <c r="D28" s="64">
        <v>4.5599999999999996</v>
      </c>
      <c r="E28" s="72">
        <f t="shared" si="2"/>
        <v>8.6732456140350873</v>
      </c>
      <c r="F28" s="59">
        <f t="shared" si="0"/>
        <v>0.11529709228824274</v>
      </c>
      <c r="G28" s="59"/>
      <c r="H28" s="36" t="str">
        <f t="shared" si="3"/>
        <v>OGE</v>
      </c>
      <c r="I28" s="62">
        <f t="shared" si="4"/>
        <v>39.549999999999997</v>
      </c>
      <c r="J28" s="64">
        <v>4.5999999999999996</v>
      </c>
      <c r="K28" s="64"/>
      <c r="L28" s="72">
        <f t="shared" si="5"/>
        <v>8.5978260869565215</v>
      </c>
      <c r="M28" s="59">
        <f t="shared" si="1"/>
        <v>0.11630847029077118</v>
      </c>
      <c r="N28" s="13"/>
    </row>
    <row r="29" spans="1:14" ht="15.75">
      <c r="A29" s="45" t="s">
        <v>51</v>
      </c>
      <c r="B29" s="36" t="s">
        <v>61</v>
      </c>
      <c r="C29" s="62">
        <f>+'S&amp;D'!G34</f>
        <v>58.71</v>
      </c>
      <c r="D29" s="64">
        <v>8.77</v>
      </c>
      <c r="E29" s="72">
        <f t="shared" si="2"/>
        <v>6.6944127708095786</v>
      </c>
      <c r="F29" s="59">
        <f t="shared" si="0"/>
        <v>0.14937830011923009</v>
      </c>
      <c r="G29" s="59"/>
      <c r="H29" s="36" t="str">
        <f t="shared" si="3"/>
        <v>OTTR</v>
      </c>
      <c r="I29" s="62">
        <f t="shared" si="4"/>
        <v>58.71</v>
      </c>
      <c r="J29" s="64">
        <v>6.4</v>
      </c>
      <c r="K29" s="64"/>
      <c r="L29" s="72">
        <f t="shared" si="5"/>
        <v>9.1734375000000004</v>
      </c>
      <c r="M29" s="59">
        <f t="shared" si="1"/>
        <v>0.1090103900528019</v>
      </c>
      <c r="N29" s="13"/>
    </row>
    <row r="30" spans="1:14" ht="15.75">
      <c r="A30" s="45" t="s">
        <v>70</v>
      </c>
      <c r="B30" s="36" t="s">
        <v>71</v>
      </c>
      <c r="C30" s="62">
        <f>+'S&amp;D'!G35</f>
        <v>29.22</v>
      </c>
      <c r="D30" s="64">
        <v>3.1</v>
      </c>
      <c r="E30" s="72">
        <f t="shared" ref="E30" si="14">C30/D30</f>
        <v>9.4258064516129032</v>
      </c>
      <c r="F30" s="59">
        <f t="shared" ref="F30" si="15">1/E30</f>
        <v>0.10609171800136892</v>
      </c>
      <c r="G30" s="59"/>
      <c r="H30" s="36" t="str">
        <f t="shared" si="3"/>
        <v>PPL</v>
      </c>
      <c r="I30" s="62">
        <f t="shared" si="4"/>
        <v>29.22</v>
      </c>
      <c r="J30" s="64">
        <v>3.2</v>
      </c>
      <c r="K30" s="64"/>
      <c r="L30" s="72">
        <f t="shared" si="5"/>
        <v>9.1312499999999996</v>
      </c>
      <c r="M30" s="59">
        <f t="shared" si="1"/>
        <v>0.10951403148528406</v>
      </c>
      <c r="N30" s="13"/>
    </row>
    <row r="31" spans="1:14" ht="15.75">
      <c r="A31" s="45" t="s">
        <v>72</v>
      </c>
      <c r="B31" s="36" t="s">
        <v>73</v>
      </c>
      <c r="C31" s="62">
        <f>+'S&amp;D'!G36</f>
        <v>71.41</v>
      </c>
      <c r="D31" s="64">
        <v>7.3</v>
      </c>
      <c r="E31" s="72">
        <f t="shared" ref="E31" si="16">C31/D31</f>
        <v>9.7821917808219183</v>
      </c>
      <c r="F31" s="59">
        <f t="shared" ref="F31" si="17">1/E31</f>
        <v>0.10222657891051673</v>
      </c>
      <c r="G31" s="59"/>
      <c r="H31" s="36" t="str">
        <f t="shared" si="3"/>
        <v>SO</v>
      </c>
      <c r="I31" s="62">
        <f t="shared" si="4"/>
        <v>71.41</v>
      </c>
      <c r="J31" s="64">
        <v>7.65</v>
      </c>
      <c r="K31" s="64"/>
      <c r="L31" s="72">
        <f t="shared" si="5"/>
        <v>9.3346405228758158</v>
      </c>
      <c r="M31" s="59">
        <f t="shared" si="1"/>
        <v>0.10712785324184289</v>
      </c>
      <c r="N31" s="13"/>
    </row>
    <row r="32" spans="1:14" ht="15.75">
      <c r="A32" s="45" t="s">
        <v>52</v>
      </c>
      <c r="B32" s="36" t="s">
        <v>62</v>
      </c>
      <c r="C32" s="62">
        <f>+'S&amp;D'!G37</f>
        <v>93.76</v>
      </c>
      <c r="D32" s="64">
        <v>8.01</v>
      </c>
      <c r="E32" s="72">
        <f t="shared" si="2"/>
        <v>11.705368289637953</v>
      </c>
      <c r="F32" s="59">
        <f t="shared" si="0"/>
        <v>8.5430887372013653E-2</v>
      </c>
      <c r="G32" s="59"/>
      <c r="H32" s="36" t="str">
        <f t="shared" si="3"/>
        <v>WEC</v>
      </c>
      <c r="I32" s="62">
        <f t="shared" si="4"/>
        <v>93.76</v>
      </c>
      <c r="J32" s="64">
        <v>8.6</v>
      </c>
      <c r="K32" s="64"/>
      <c r="L32" s="72">
        <f t="shared" si="5"/>
        <v>10.902325581395349</v>
      </c>
      <c r="M32" s="59">
        <f t="shared" si="1"/>
        <v>9.1723549488054612E-2</v>
      </c>
      <c r="N32" s="13"/>
    </row>
    <row r="33" spans="1:14" ht="15.75" thickBot="1">
      <c r="A33" s="13"/>
      <c r="B33" s="73"/>
      <c r="C33" s="73"/>
      <c r="D33" s="73"/>
      <c r="E33" s="73"/>
      <c r="F33" s="73"/>
      <c r="G33" s="13"/>
      <c r="H33" s="73"/>
      <c r="I33" s="73"/>
      <c r="J33" s="73"/>
      <c r="K33" s="73"/>
      <c r="L33" s="73"/>
      <c r="M33" s="73"/>
      <c r="N33" s="13"/>
    </row>
    <row r="34" spans="1:14" ht="15.75" thickTop="1">
      <c r="A34" s="13"/>
      <c r="C34" s="15" t="s">
        <v>65</v>
      </c>
      <c r="D34" s="339">
        <v>15.51</v>
      </c>
      <c r="E34" s="339">
        <v>11.71</v>
      </c>
      <c r="F34" s="323">
        <v>0.14940000000000001</v>
      </c>
      <c r="I34" s="15" t="s">
        <v>65</v>
      </c>
      <c r="J34" s="339">
        <v>16.95</v>
      </c>
      <c r="K34" s="339"/>
      <c r="L34" s="339">
        <v>10.9</v>
      </c>
      <c r="M34" s="323">
        <v>0.1507</v>
      </c>
      <c r="N34" s="13"/>
    </row>
    <row r="35" spans="1:14">
      <c r="A35" s="13"/>
      <c r="C35" s="15" t="s">
        <v>66</v>
      </c>
      <c r="D35" s="345">
        <v>3.1</v>
      </c>
      <c r="E35" s="345">
        <v>6.69</v>
      </c>
      <c r="F35" s="324">
        <v>8.5400000000000004E-2</v>
      </c>
      <c r="I35" s="15" t="s">
        <v>66</v>
      </c>
      <c r="J35" s="345">
        <v>3.2</v>
      </c>
      <c r="K35" s="345"/>
      <c r="L35" s="345">
        <v>6.64</v>
      </c>
      <c r="M35" s="324">
        <v>9.1700000000000004E-2</v>
      </c>
      <c r="N35" s="13"/>
    </row>
    <row r="36" spans="1:14">
      <c r="A36" s="13"/>
      <c r="C36" s="15" t="s">
        <v>18</v>
      </c>
      <c r="D36" s="74">
        <f>MEDIAN(D17:D32)</f>
        <v>7.52</v>
      </c>
      <c r="E36" s="22">
        <f>MEDIAN(E17:E32)</f>
        <v>8.7750148712956957</v>
      </c>
      <c r="F36" s="59">
        <f>MEDIAN(F17:F32)</f>
        <v>0.11396993661745419</v>
      </c>
      <c r="I36" s="15" t="s">
        <v>18</v>
      </c>
      <c r="J36" s="74">
        <f>MEDIAN(J17:J32)</f>
        <v>7.8000000000000007</v>
      </c>
      <c r="K36" s="74"/>
      <c r="L36" s="22">
        <f>MEDIAN(L17:L32)</f>
        <v>8.614822134387353</v>
      </c>
      <c r="M36" s="59">
        <f>MEDIAN(M17:M32)</f>
        <v>0.11607945894738664</v>
      </c>
      <c r="N36" s="13"/>
    </row>
    <row r="37" spans="1:14">
      <c r="A37" s="13"/>
      <c r="C37" s="15" t="s">
        <v>466</v>
      </c>
      <c r="D37" s="18">
        <f>AVERAGE(D17:D32)</f>
        <v>8.03125</v>
      </c>
      <c r="E37" s="22">
        <f>AVERAGE(E17:E32)</f>
        <v>8.9375166542595235</v>
      </c>
      <c r="F37" s="75">
        <f>AVERAGE(F17:F32)</f>
        <v>0.11381256929081407</v>
      </c>
      <c r="I37" s="15" t="s">
        <v>466</v>
      </c>
      <c r="J37" s="18">
        <f>AVERAGE(J17:J32)</f>
        <v>8.3625000000000007</v>
      </c>
      <c r="K37" s="18"/>
      <c r="L37" s="22">
        <f>AVERAGE(L17:L32)</f>
        <v>8.6367582348825298</v>
      </c>
      <c r="M37" s="75">
        <f>AVERAGE(M17:M32)</f>
        <v>0.1173639728191373</v>
      </c>
      <c r="N37" s="13"/>
    </row>
    <row r="38" spans="1:14">
      <c r="A38" s="13"/>
      <c r="B38" s="13"/>
      <c r="C38" s="13"/>
      <c r="D38" s="13"/>
      <c r="E38" s="13"/>
      <c r="F38" s="13"/>
      <c r="H38" s="13"/>
      <c r="I38" s="13"/>
      <c r="J38" s="13"/>
      <c r="K38" s="13"/>
      <c r="L38" s="13"/>
      <c r="M38" s="13"/>
      <c r="N38" s="13"/>
    </row>
    <row r="39" spans="1:14" ht="20.25">
      <c r="A39" s="13"/>
      <c r="B39" s="13"/>
      <c r="C39" s="13"/>
      <c r="D39" s="79" t="s">
        <v>109</v>
      </c>
      <c r="E39" s="431">
        <v>8.94</v>
      </c>
      <c r="F39" s="372">
        <v>0.1138</v>
      </c>
      <c r="H39" s="13"/>
      <c r="I39" s="13"/>
      <c r="J39" s="79" t="s">
        <v>109</v>
      </c>
      <c r="K39" s="51"/>
      <c r="L39" s="432">
        <v>8.64</v>
      </c>
      <c r="M39" s="372">
        <v>0.1174</v>
      </c>
      <c r="N39" s="13"/>
    </row>
    <row r="40" spans="1:14" ht="17.25" thickBot="1">
      <c r="A40" s="13"/>
      <c r="B40" s="13"/>
      <c r="C40" s="13"/>
      <c r="D40" s="13"/>
      <c r="E40" s="13"/>
      <c r="F40" s="76" t="s">
        <v>0</v>
      </c>
      <c r="G40" s="76"/>
      <c r="H40" s="13"/>
      <c r="I40" s="13"/>
      <c r="J40" s="13"/>
      <c r="K40" s="13"/>
      <c r="L40" s="13"/>
      <c r="M40" s="13"/>
      <c r="N40" s="13"/>
    </row>
    <row r="41" spans="1:14" ht="21" thickBot="1">
      <c r="A41" s="77" t="s">
        <v>0</v>
      </c>
      <c r="B41" s="13"/>
      <c r="C41" s="13"/>
      <c r="D41" s="13"/>
      <c r="E41" s="25" t="s">
        <v>161</v>
      </c>
      <c r="F41" s="25"/>
      <c r="G41" s="433">
        <f>(+E39+L39)/2</f>
        <v>8.7899999999999991</v>
      </c>
      <c r="H41" s="422">
        <f>(+F39+M39)/2</f>
        <v>0.11560000000000001</v>
      </c>
      <c r="N41" s="13"/>
    </row>
    <row r="42" spans="1:14" ht="20.25">
      <c r="A42" s="77"/>
      <c r="B42" s="13"/>
      <c r="C42" s="13"/>
      <c r="D42" s="13"/>
      <c r="E42" s="25"/>
      <c r="F42" s="25"/>
      <c r="G42" s="374"/>
      <c r="H42" s="375"/>
      <c r="N42" s="13"/>
    </row>
    <row r="43" spans="1:14">
      <c r="B43" s="13"/>
      <c r="C43" s="13"/>
      <c r="D43" s="13"/>
      <c r="E43" s="13"/>
      <c r="F43" s="13"/>
      <c r="G43" s="13"/>
      <c r="H43" s="13"/>
      <c r="I43" s="13"/>
      <c r="J43" s="13"/>
      <c r="K43" s="13"/>
      <c r="L43" s="13"/>
      <c r="M43" s="13"/>
      <c r="N43" s="13"/>
    </row>
    <row r="44" spans="1:14">
      <c r="A44" s="13"/>
      <c r="B44" s="13"/>
      <c r="C44" s="13"/>
      <c r="D44" s="13"/>
      <c r="E44" s="13"/>
      <c r="F44" s="13"/>
      <c r="G44" s="13"/>
      <c r="H44" s="13"/>
      <c r="I44" s="13"/>
      <c r="J44" s="13"/>
      <c r="K44" s="13"/>
      <c r="L44" s="13"/>
      <c r="M44" s="13"/>
      <c r="N44" s="13"/>
    </row>
    <row r="45" spans="1:14">
      <c r="A45" s="13"/>
      <c r="B45" s="13"/>
      <c r="C45" s="13"/>
      <c r="D45" s="13"/>
      <c r="E45" s="13"/>
      <c r="F45" s="13"/>
      <c r="G45" s="13"/>
      <c r="H45" s="13"/>
      <c r="I45" s="13"/>
      <c r="J45" s="13"/>
      <c r="K45" s="13"/>
      <c r="L45" s="13"/>
      <c r="M45" s="13"/>
      <c r="N45" s="13"/>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77"/>
  <sheetViews>
    <sheetView view="pageBreakPreview" zoomScale="60" zoomScaleNormal="80" workbookViewId="0">
      <selection activeCell="J50" sqref="J50"/>
    </sheetView>
  </sheetViews>
  <sheetFormatPr defaultRowHeight="15"/>
  <cols>
    <col min="1" max="1" width="44.140625" customWidth="1"/>
    <col min="2" max="2" width="14.42578125" customWidth="1"/>
    <col min="3" max="3" width="12.28515625" bestFit="1" customWidth="1"/>
    <col min="4" max="4" width="23.7109375" customWidth="1"/>
    <col min="5" max="5" width="21.28515625" customWidth="1"/>
    <col min="6" max="6" width="19" customWidth="1"/>
    <col min="7" max="7" width="16.42578125" customWidth="1"/>
    <col min="8" max="10" width="19.28515625" customWidth="1"/>
    <col min="11" max="12" width="21.5703125" customWidth="1"/>
    <col min="13" max="13" width="18.28515625" customWidth="1"/>
  </cols>
  <sheetData>
    <row r="1" spans="1:15" ht="20.25">
      <c r="A1" s="25" t="s">
        <v>1</v>
      </c>
      <c r="B1" s="25"/>
      <c r="C1" s="13"/>
      <c r="D1" s="13"/>
      <c r="E1" s="13"/>
      <c r="F1" s="13"/>
      <c r="G1" s="13"/>
      <c r="H1" s="13"/>
      <c r="I1" s="13"/>
      <c r="J1" s="13"/>
      <c r="K1" s="13"/>
      <c r="L1" s="13"/>
      <c r="M1" s="13"/>
      <c r="N1" s="13"/>
      <c r="O1" s="13"/>
    </row>
    <row r="2" spans="1:15" ht="15.75">
      <c r="A2" s="65" t="s">
        <v>9</v>
      </c>
      <c r="B2" s="65"/>
      <c r="C2" s="13"/>
      <c r="D2" s="13"/>
      <c r="E2" s="13"/>
      <c r="F2" s="13"/>
      <c r="G2" s="13"/>
      <c r="H2" s="13"/>
      <c r="I2" s="13"/>
      <c r="J2" s="13"/>
      <c r="K2" s="13"/>
      <c r="L2" s="13"/>
      <c r="M2" s="13"/>
      <c r="N2" s="13"/>
      <c r="O2" s="13"/>
    </row>
    <row r="3" spans="1:15">
      <c r="A3" s="27" t="s">
        <v>97</v>
      </c>
      <c r="B3" s="45"/>
      <c r="C3" s="13"/>
      <c r="D3" s="13"/>
      <c r="E3" s="13"/>
      <c r="F3" s="13"/>
      <c r="G3" s="13"/>
      <c r="H3" s="13"/>
      <c r="I3" s="13"/>
      <c r="J3" s="13"/>
      <c r="K3" s="13"/>
      <c r="L3" s="13"/>
      <c r="M3" s="13"/>
      <c r="N3" s="13"/>
      <c r="O3" s="13"/>
    </row>
    <row r="4" spans="1:15">
      <c r="A4" s="13"/>
      <c r="B4" s="13"/>
      <c r="C4" s="13"/>
      <c r="D4" s="13"/>
      <c r="E4" s="28" t="s">
        <v>0</v>
      </c>
      <c r="F4" s="13"/>
      <c r="G4" s="13"/>
      <c r="H4" s="13"/>
      <c r="I4" s="13"/>
      <c r="J4" s="13"/>
      <c r="K4" s="13"/>
      <c r="L4" s="13"/>
      <c r="M4" s="13"/>
      <c r="N4" s="13"/>
      <c r="O4" s="13"/>
    </row>
    <row r="5" spans="1:15" ht="16.5" thickBot="1">
      <c r="A5" s="65"/>
      <c r="B5" s="65"/>
      <c r="C5" s="13"/>
      <c r="D5" s="13"/>
      <c r="E5" s="13"/>
      <c r="F5" s="13"/>
      <c r="G5" s="13"/>
      <c r="H5" s="13"/>
      <c r="I5" s="13"/>
      <c r="J5" s="13"/>
      <c r="K5" s="13"/>
      <c r="L5" s="13"/>
      <c r="M5" s="13"/>
      <c r="N5" s="13"/>
      <c r="O5" s="13"/>
    </row>
    <row r="6" spans="1:15" ht="18.75" thickBot="1">
      <c r="A6" s="287" t="str">
        <f>+'S&amp;D'!A12</f>
        <v>Electric Utilities</v>
      </c>
      <c r="B6" s="290"/>
      <c r="C6" s="13"/>
      <c r="D6" s="13"/>
      <c r="E6" s="13"/>
      <c r="F6" s="13"/>
      <c r="G6" s="13"/>
      <c r="H6" s="13"/>
      <c r="I6" s="13"/>
      <c r="J6" s="13"/>
      <c r="K6" s="13"/>
      <c r="L6" s="13"/>
      <c r="M6" s="13"/>
      <c r="N6" s="13"/>
      <c r="O6" s="13"/>
    </row>
    <row r="7" spans="1:15" ht="16.5" thickBot="1">
      <c r="A7" s="65"/>
      <c r="B7" s="65"/>
      <c r="C7" s="30"/>
      <c r="D7" s="30"/>
      <c r="E7" s="30"/>
      <c r="F7" s="30"/>
      <c r="G7" s="30"/>
      <c r="H7" s="13"/>
      <c r="I7" s="30"/>
      <c r="J7" s="30"/>
      <c r="K7" s="30"/>
      <c r="L7" s="30"/>
      <c r="M7" s="30"/>
      <c r="N7" s="13"/>
      <c r="O7" s="13"/>
    </row>
    <row r="8" spans="1:15" ht="20.25">
      <c r="B8" s="32"/>
      <c r="C8" s="13"/>
      <c r="D8" s="13"/>
      <c r="E8" s="33" t="s">
        <v>274</v>
      </c>
      <c r="F8" s="13"/>
      <c r="G8" s="13"/>
      <c r="H8" s="13"/>
      <c r="I8" s="13"/>
      <c r="J8" s="13"/>
      <c r="K8" s="33" t="s">
        <v>275</v>
      </c>
      <c r="L8" s="13"/>
      <c r="M8" s="13"/>
      <c r="N8" s="13"/>
      <c r="O8" s="13"/>
    </row>
    <row r="9" spans="1:15" ht="18.75" thickBot="1">
      <c r="A9" s="32"/>
      <c r="B9" s="32"/>
      <c r="C9" s="30"/>
      <c r="D9" s="30"/>
      <c r="E9" s="38" t="s">
        <v>111</v>
      </c>
      <c r="F9" s="30"/>
      <c r="G9" s="30"/>
      <c r="H9" s="13"/>
      <c r="I9" s="30"/>
      <c r="J9" s="30"/>
      <c r="K9" s="38" t="s">
        <v>111</v>
      </c>
      <c r="L9" s="30"/>
      <c r="M9" s="30"/>
      <c r="N9" s="13"/>
      <c r="O9" s="13"/>
    </row>
    <row r="10" spans="1:15" ht="15.75" thickBot="1">
      <c r="A10" s="35" t="s">
        <v>0</v>
      </c>
      <c r="B10" s="35"/>
      <c r="C10" s="35" t="s">
        <v>0</v>
      </c>
      <c r="D10" s="35" t="s">
        <v>0</v>
      </c>
      <c r="E10" s="35" t="s">
        <v>0</v>
      </c>
      <c r="F10" s="35" t="s">
        <v>0</v>
      </c>
      <c r="G10" s="35" t="s">
        <v>0</v>
      </c>
      <c r="H10" s="13"/>
      <c r="I10" s="30"/>
      <c r="J10" s="30"/>
      <c r="K10" s="30"/>
      <c r="L10" s="30"/>
      <c r="M10" s="30"/>
      <c r="N10" s="13"/>
      <c r="O10" s="13"/>
    </row>
    <row r="11" spans="1:15">
      <c r="A11" s="36" t="s">
        <v>0</v>
      </c>
      <c r="B11" s="36"/>
      <c r="C11" s="36" t="s">
        <v>3</v>
      </c>
      <c r="D11" s="36" t="s">
        <v>0</v>
      </c>
      <c r="E11" s="36" t="s">
        <v>148</v>
      </c>
      <c r="F11" s="36" t="s">
        <v>148</v>
      </c>
      <c r="G11" s="36" t="s">
        <v>27</v>
      </c>
      <c r="H11" s="13"/>
      <c r="I11" s="36" t="s">
        <v>3</v>
      </c>
      <c r="J11" s="36" t="s">
        <v>0</v>
      </c>
      <c r="K11" s="36" t="s">
        <v>148</v>
      </c>
      <c r="L11" s="36" t="s">
        <v>148</v>
      </c>
      <c r="M11" s="36" t="s">
        <v>27</v>
      </c>
      <c r="N11" s="13"/>
      <c r="O11" s="13"/>
    </row>
    <row r="12" spans="1:15" ht="15.75" thickBot="1">
      <c r="A12" s="38" t="s">
        <v>2</v>
      </c>
      <c r="B12" s="38"/>
      <c r="C12" s="38" t="s">
        <v>4</v>
      </c>
      <c r="D12" s="38" t="s">
        <v>28</v>
      </c>
      <c r="E12" s="38" t="s">
        <v>211</v>
      </c>
      <c r="F12" s="38" t="s">
        <v>29</v>
      </c>
      <c r="G12" s="38" t="s">
        <v>30</v>
      </c>
      <c r="H12" s="13"/>
      <c r="I12" s="38" t="s">
        <v>4</v>
      </c>
      <c r="J12" s="38" t="s">
        <v>28</v>
      </c>
      <c r="K12" s="38" t="s">
        <v>211</v>
      </c>
      <c r="L12" s="38" t="s">
        <v>29</v>
      </c>
      <c r="M12" s="38" t="s">
        <v>30</v>
      </c>
      <c r="N12" s="13"/>
      <c r="O12" s="13"/>
    </row>
    <row r="13" spans="1:15">
      <c r="A13" s="40" t="s">
        <v>0</v>
      </c>
      <c r="B13" s="40"/>
      <c r="C13" s="40" t="s">
        <v>0</v>
      </c>
      <c r="D13" s="41" t="s">
        <v>150</v>
      </c>
      <c r="E13" s="78" t="s">
        <v>151</v>
      </c>
      <c r="F13" s="40" t="s">
        <v>0</v>
      </c>
      <c r="G13" s="40" t="s">
        <v>0</v>
      </c>
      <c r="H13" s="13"/>
      <c r="I13" s="40" t="s">
        <v>0</v>
      </c>
      <c r="J13" s="41" t="s">
        <v>150</v>
      </c>
      <c r="K13" s="78" t="s">
        <v>149</v>
      </c>
      <c r="L13" s="40" t="s">
        <v>0</v>
      </c>
      <c r="M13" s="40" t="s">
        <v>0</v>
      </c>
      <c r="N13" s="13"/>
      <c r="O13" s="13"/>
    </row>
    <row r="14" spans="1:15">
      <c r="A14" s="36"/>
      <c r="B14" s="36"/>
      <c r="C14" s="36"/>
      <c r="D14" s="36"/>
      <c r="E14" s="36"/>
      <c r="F14" s="36"/>
      <c r="G14" s="36"/>
      <c r="H14" s="13"/>
      <c r="I14" s="36"/>
      <c r="J14" s="36"/>
      <c r="K14" s="36"/>
      <c r="L14" s="36"/>
      <c r="M14" s="36"/>
      <c r="N14" s="13"/>
      <c r="O14" s="13"/>
    </row>
    <row r="15" spans="1:15">
      <c r="A15" s="13"/>
      <c r="B15" s="13"/>
      <c r="C15" s="13"/>
      <c r="D15" s="13"/>
      <c r="E15" s="13"/>
      <c r="F15" s="13"/>
      <c r="G15" s="13"/>
      <c r="H15" s="13"/>
      <c r="I15" s="13"/>
      <c r="J15" s="13"/>
      <c r="K15" s="13"/>
      <c r="L15" s="13"/>
      <c r="M15" s="13"/>
      <c r="N15" s="13"/>
      <c r="O15" s="13"/>
    </row>
    <row r="16" spans="1:15" ht="15.75">
      <c r="A16" s="45" t="str">
        <f>+'S&amp;D'!A22</f>
        <v>ALLETE Inc</v>
      </c>
      <c r="B16" s="45"/>
      <c r="C16" s="36" t="str">
        <f>+'S&amp;D'!B22</f>
        <v>ALE</v>
      </c>
      <c r="D16" s="62">
        <f>'S&amp;D'!G22</f>
        <v>64.510000000000005</v>
      </c>
      <c r="E16" s="64">
        <v>3.38</v>
      </c>
      <c r="F16" s="72">
        <f>D16/E16</f>
        <v>19.085798816568051</v>
      </c>
      <c r="G16" s="59">
        <f t="shared" ref="G16:G26" si="0">1/F16</f>
        <v>5.2394977522864664E-2</v>
      </c>
      <c r="H16" s="13"/>
      <c r="I16" s="36" t="s">
        <v>53</v>
      </c>
      <c r="J16" s="62">
        <f>+D16</f>
        <v>64.510000000000005</v>
      </c>
      <c r="K16" s="64">
        <v>3.85</v>
      </c>
      <c r="L16" s="72">
        <f>J16/K16</f>
        <v>16.755844155844155</v>
      </c>
      <c r="M16" s="59">
        <f t="shared" ref="M16:M26" si="1">1/L16</f>
        <v>5.9680669663618048E-2</v>
      </c>
      <c r="N16" s="13"/>
      <c r="O16" s="13"/>
    </row>
    <row r="17" spans="1:15" ht="15.75">
      <c r="A17" s="45" t="str">
        <f>+'S&amp;D'!A23</f>
        <v>Alliant Energy</v>
      </c>
      <c r="B17" s="45"/>
      <c r="C17" s="36" t="str">
        <f>+'S&amp;D'!B23</f>
        <v>LNT</v>
      </c>
      <c r="D17" s="62">
        <f>'S&amp;D'!G23</f>
        <v>55.21</v>
      </c>
      <c r="E17" s="64">
        <v>2.73</v>
      </c>
      <c r="F17" s="72">
        <f t="shared" ref="F17:F26" si="2">D17/E17</f>
        <v>20.223443223443223</v>
      </c>
      <c r="G17" s="59">
        <f t="shared" si="0"/>
        <v>4.9447563847129145E-2</v>
      </c>
      <c r="H17" s="13"/>
      <c r="I17" s="36" t="s">
        <v>54</v>
      </c>
      <c r="J17" s="62">
        <f t="shared" ref="J17:J26" si="3">+D17</f>
        <v>55.21</v>
      </c>
      <c r="K17" s="64">
        <v>2.9</v>
      </c>
      <c r="L17" s="72">
        <f t="shared" ref="L17:L26" si="4">J17/K17</f>
        <v>19.03793103448276</v>
      </c>
      <c r="M17" s="59">
        <f t="shared" si="1"/>
        <v>5.2526716174606046E-2</v>
      </c>
      <c r="N17" s="13"/>
      <c r="O17" s="13"/>
    </row>
    <row r="18" spans="1:15" ht="15.75">
      <c r="A18" s="45" t="str">
        <f>+'S&amp;D'!A24</f>
        <v>AMEREN Corporation</v>
      </c>
      <c r="B18" s="45"/>
      <c r="C18" s="36" t="str">
        <f>+'S&amp;D'!B24</f>
        <v>AEE</v>
      </c>
      <c r="D18" s="62">
        <f>'S&amp;D'!G24</f>
        <v>88.92</v>
      </c>
      <c r="E18" s="64">
        <v>4.1399999999999997</v>
      </c>
      <c r="F18" s="72">
        <f t="shared" si="2"/>
        <v>21.478260869565219</v>
      </c>
      <c r="G18" s="59">
        <f t="shared" si="0"/>
        <v>4.6558704453441291E-2</v>
      </c>
      <c r="H18" s="13"/>
      <c r="I18" s="36" t="s">
        <v>58</v>
      </c>
      <c r="J18" s="62">
        <f t="shared" si="3"/>
        <v>88.92</v>
      </c>
      <c r="K18" s="64">
        <v>4.45</v>
      </c>
      <c r="L18" s="72">
        <f t="shared" si="4"/>
        <v>19.982022471910113</v>
      </c>
      <c r="M18" s="59">
        <f t="shared" si="1"/>
        <v>5.0044984255510572E-2</v>
      </c>
      <c r="N18" s="13"/>
      <c r="O18" s="13"/>
    </row>
    <row r="19" spans="1:15" ht="15.75">
      <c r="A19" s="45" t="str">
        <f>+'S&amp;D'!A25</f>
        <v>American Electric Power</v>
      </c>
      <c r="B19" s="45"/>
      <c r="C19" s="36" t="str">
        <f>+'S&amp;D'!B25</f>
        <v>AEP</v>
      </c>
      <c r="D19" s="62">
        <f>'S&amp;D'!G25</f>
        <v>94.95</v>
      </c>
      <c r="E19" s="64">
        <v>4.51</v>
      </c>
      <c r="F19" s="72">
        <f>D19/E19</f>
        <v>21.053215077605323</v>
      </c>
      <c r="G19" s="59">
        <f t="shared" si="0"/>
        <v>4.7498683517640861E-2</v>
      </c>
      <c r="H19" s="13"/>
      <c r="I19" s="36" t="s">
        <v>59</v>
      </c>
      <c r="J19" s="62">
        <f t="shared" si="3"/>
        <v>94.95</v>
      </c>
      <c r="K19" s="64">
        <v>5.35</v>
      </c>
      <c r="L19" s="72">
        <f t="shared" si="4"/>
        <v>17.747663551401871</v>
      </c>
      <c r="M19" s="59">
        <f t="shared" si="1"/>
        <v>5.6345444971037384E-2</v>
      </c>
      <c r="N19" s="13"/>
      <c r="O19" s="13"/>
    </row>
    <row r="20" spans="1:15" ht="15.75">
      <c r="A20" s="45" t="str">
        <f>+'S&amp;D'!A26</f>
        <v>Centerpoint Energy</v>
      </c>
      <c r="B20" s="45"/>
      <c r="C20" s="36" t="str">
        <f>+'S&amp;D'!B26</f>
        <v>CNP</v>
      </c>
      <c r="D20" s="62">
        <f>'S&amp;D'!G26</f>
        <v>29.99</v>
      </c>
      <c r="E20" s="64">
        <v>1.38</v>
      </c>
      <c r="F20" s="72">
        <f t="shared" si="2"/>
        <v>21.731884057971016</v>
      </c>
      <c r="G20" s="59">
        <f t="shared" si="0"/>
        <v>4.6015338446148711E-2</v>
      </c>
      <c r="H20" s="13"/>
      <c r="I20" s="36" t="s">
        <v>60</v>
      </c>
      <c r="J20" s="62">
        <f t="shared" si="3"/>
        <v>29.99</v>
      </c>
      <c r="K20" s="64">
        <v>1.5</v>
      </c>
      <c r="L20" s="72">
        <f t="shared" si="4"/>
        <v>19.993333333333332</v>
      </c>
      <c r="M20" s="59">
        <f t="shared" si="1"/>
        <v>5.0016672224074694E-2</v>
      </c>
      <c r="N20" s="13"/>
      <c r="O20" s="13"/>
    </row>
    <row r="21" spans="1:15" ht="15.75">
      <c r="A21" s="45" t="str">
        <f>+'S&amp;D'!A27</f>
        <v>CMS Energy</v>
      </c>
      <c r="B21" s="45"/>
      <c r="C21" s="36" t="str">
        <f>+'S&amp;D'!B27</f>
        <v>CMS</v>
      </c>
      <c r="D21" s="62">
        <f>'S&amp;D'!G27</f>
        <v>63.33</v>
      </c>
      <c r="E21" s="64">
        <v>2.84</v>
      </c>
      <c r="F21" s="72">
        <f t="shared" si="2"/>
        <v>22.299295774647888</v>
      </c>
      <c r="G21" s="59">
        <f t="shared" si="0"/>
        <v>4.4844465498184112E-2</v>
      </c>
      <c r="H21" s="13"/>
      <c r="I21" s="36" t="s">
        <v>55</v>
      </c>
      <c r="J21" s="62">
        <f t="shared" si="3"/>
        <v>63.33</v>
      </c>
      <c r="K21" s="64">
        <v>3.05</v>
      </c>
      <c r="L21" s="72">
        <f t="shared" si="4"/>
        <v>20.763934426229508</v>
      </c>
      <c r="M21" s="59">
        <f t="shared" si="1"/>
        <v>4.8160429496289278E-2</v>
      </c>
      <c r="N21" s="13"/>
      <c r="O21" s="13"/>
    </row>
    <row r="22" spans="1:15" ht="15.75">
      <c r="A22" s="45" t="str">
        <f>+'S&amp;D'!A28</f>
        <v>DTE Energy</v>
      </c>
      <c r="B22" s="45"/>
      <c r="C22" s="36" t="str">
        <f>+'S&amp;D'!B28</f>
        <v>DTE</v>
      </c>
      <c r="D22" s="62">
        <f>'S&amp;D'!G28</f>
        <v>117.53</v>
      </c>
      <c r="E22" s="64">
        <v>5.52</v>
      </c>
      <c r="F22" s="72">
        <f t="shared" si="2"/>
        <v>21.291666666666668</v>
      </c>
      <c r="G22" s="59">
        <f t="shared" si="0"/>
        <v>4.6966731898238745E-2</v>
      </c>
      <c r="H22" s="13"/>
      <c r="I22" s="36" t="s">
        <v>56</v>
      </c>
      <c r="J22" s="62">
        <f t="shared" si="3"/>
        <v>117.53</v>
      </c>
      <c r="K22" s="64">
        <v>6.25</v>
      </c>
      <c r="L22" s="72">
        <f t="shared" si="4"/>
        <v>18.8048</v>
      </c>
      <c r="M22" s="59">
        <f t="shared" si="1"/>
        <v>5.3177912022462352E-2</v>
      </c>
      <c r="N22" s="13"/>
      <c r="O22" s="13"/>
    </row>
    <row r="23" spans="1:15" ht="15.75">
      <c r="A23" s="45" t="str">
        <f>+'S&amp;D'!A29</f>
        <v>Duke Energy</v>
      </c>
      <c r="B23" s="45"/>
      <c r="C23" s="36" t="str">
        <f>+'S&amp;D'!B29</f>
        <v>DUK</v>
      </c>
      <c r="D23" s="62">
        <f>'S&amp;D'!G29</f>
        <v>102.99</v>
      </c>
      <c r="E23" s="64">
        <v>5.3</v>
      </c>
      <c r="F23" s="72">
        <f t="shared" si="2"/>
        <v>19.432075471698113</v>
      </c>
      <c r="G23" s="59">
        <f t="shared" si="0"/>
        <v>5.1461306923002235E-2</v>
      </c>
      <c r="H23" s="13"/>
      <c r="I23" s="36" t="s">
        <v>67</v>
      </c>
      <c r="J23" s="62">
        <f t="shared" si="3"/>
        <v>102.99</v>
      </c>
      <c r="K23" s="64">
        <v>5.75</v>
      </c>
      <c r="L23" s="72">
        <f t="shared" si="4"/>
        <v>17.911304347826086</v>
      </c>
      <c r="M23" s="59">
        <f t="shared" si="1"/>
        <v>5.5830663171181676E-2</v>
      </c>
      <c r="N23" s="13"/>
      <c r="O23" s="13"/>
    </row>
    <row r="24" spans="1:15" ht="15.75">
      <c r="A24" s="45" t="str">
        <f>+'S&amp;D'!A30</f>
        <v>Entergy Corp</v>
      </c>
      <c r="B24" s="45"/>
      <c r="C24" s="36" t="str">
        <f>+'S&amp;D'!B30</f>
        <v>ETR</v>
      </c>
      <c r="D24" s="62">
        <f>'S&amp;D'!G30</f>
        <v>112.5</v>
      </c>
      <c r="E24" s="64">
        <v>5.37</v>
      </c>
      <c r="F24" s="72">
        <f t="shared" si="2"/>
        <v>20.949720670391063</v>
      </c>
      <c r="G24" s="59">
        <f t="shared" si="0"/>
        <v>4.7733333333333329E-2</v>
      </c>
      <c r="H24" s="13"/>
      <c r="I24" s="36" t="s">
        <v>69</v>
      </c>
      <c r="J24" s="62">
        <f>+D24</f>
        <v>112.5</v>
      </c>
      <c r="K24" s="64">
        <v>5.85</v>
      </c>
      <c r="L24" s="72">
        <f>J24/K24</f>
        <v>19.230769230769234</v>
      </c>
      <c r="M24" s="59">
        <f t="shared" si="1"/>
        <v>5.1999999999999991E-2</v>
      </c>
      <c r="N24" s="13"/>
      <c r="O24" s="13"/>
    </row>
    <row r="25" spans="1:15" ht="15.75">
      <c r="A25" s="45" t="str">
        <f>+'S&amp;D'!A31</f>
        <v>Evergy Inc</v>
      </c>
      <c r="B25" s="45"/>
      <c r="C25" s="36" t="str">
        <f>+'S&amp;D'!B31</f>
        <v>EVRG</v>
      </c>
      <c r="D25" s="62">
        <f>'S&amp;D'!G31</f>
        <v>62.93</v>
      </c>
      <c r="E25" s="64">
        <v>3.26</v>
      </c>
      <c r="F25" s="72">
        <f t="shared" si="2"/>
        <v>19.303680981595093</v>
      </c>
      <c r="G25" s="59">
        <f t="shared" si="0"/>
        <v>5.1803591291911644E-2</v>
      </c>
      <c r="H25" s="13"/>
      <c r="I25" s="36" t="str">
        <f>+C25</f>
        <v>EVRG</v>
      </c>
      <c r="J25" s="62">
        <f>+D25</f>
        <v>62.93</v>
      </c>
      <c r="K25" s="64">
        <v>3.6</v>
      </c>
      <c r="L25" s="72">
        <f>J25/K25</f>
        <v>17.480555555555554</v>
      </c>
      <c r="M25" s="59">
        <f t="shared" ref="M25" si="5">1/L25</f>
        <v>5.7206419831558879E-2</v>
      </c>
      <c r="N25" s="13"/>
      <c r="O25" s="13"/>
    </row>
    <row r="26" spans="1:15" ht="15.75">
      <c r="A26" s="45" t="str">
        <f>+'S&amp;D'!A32</f>
        <v>FirstEnergy Corp</v>
      </c>
      <c r="B26" s="45"/>
      <c r="C26" s="36" t="str">
        <f>+'S&amp;D'!B32</f>
        <v>FE</v>
      </c>
      <c r="D26" s="62">
        <f>'S&amp;D'!G32</f>
        <v>41.94</v>
      </c>
      <c r="E26" s="64">
        <v>2.4500000000000002</v>
      </c>
      <c r="F26" s="72">
        <f t="shared" si="2"/>
        <v>17.118367346938772</v>
      </c>
      <c r="G26" s="59">
        <f t="shared" si="0"/>
        <v>5.8416785884597054E-2</v>
      </c>
      <c r="H26" s="13"/>
      <c r="I26" s="36" t="s">
        <v>79</v>
      </c>
      <c r="J26" s="62">
        <f t="shared" si="3"/>
        <v>41.94</v>
      </c>
      <c r="K26" s="64">
        <v>2.5499999999999998</v>
      </c>
      <c r="L26" s="72">
        <f t="shared" si="4"/>
        <v>16.447058823529414</v>
      </c>
      <c r="M26" s="59">
        <f t="shared" si="1"/>
        <v>6.0801144492131608E-2</v>
      </c>
      <c r="N26" s="13"/>
      <c r="O26" s="13"/>
    </row>
    <row r="27" spans="1:15" ht="15.75">
      <c r="A27" s="45" t="str">
        <f>+'S&amp;D'!A33</f>
        <v>OGE Energy Corp.</v>
      </c>
      <c r="B27" s="45"/>
      <c r="C27" s="36" t="str">
        <f>+'S&amp;D'!B33</f>
        <v>OGE</v>
      </c>
      <c r="D27" s="62">
        <f>'S&amp;D'!G33</f>
        <v>39.549999999999997</v>
      </c>
      <c r="E27" s="64">
        <v>2.25</v>
      </c>
      <c r="F27" s="72">
        <f>D27/E27</f>
        <v>17.577777777777776</v>
      </c>
      <c r="G27" s="59">
        <f>1/F27</f>
        <v>5.6890012642225041E-2</v>
      </c>
      <c r="I27" s="36" t="s">
        <v>57</v>
      </c>
      <c r="J27" s="62">
        <f>+D27</f>
        <v>39.549999999999997</v>
      </c>
      <c r="K27" s="64">
        <v>2.0499999999999998</v>
      </c>
      <c r="L27" s="72">
        <f>J27/K27</f>
        <v>19.292682926829269</v>
      </c>
      <c r="M27" s="59">
        <f>1/L27</f>
        <v>5.1833122629582805E-2</v>
      </c>
      <c r="N27" s="13"/>
      <c r="O27" s="13"/>
    </row>
    <row r="28" spans="1:15" ht="15.75">
      <c r="A28" s="45" t="str">
        <f>+'S&amp;D'!A34</f>
        <v>Otter Tail Corp</v>
      </c>
      <c r="B28" s="45"/>
      <c r="C28" s="36" t="str">
        <f>+'S&amp;D'!B34</f>
        <v>OTTR</v>
      </c>
      <c r="D28" s="62">
        <f>'S&amp;D'!G34</f>
        <v>58.71</v>
      </c>
      <c r="E28" s="64">
        <v>6.78</v>
      </c>
      <c r="F28" s="72">
        <f>D28/E28</f>
        <v>8.6592920353982308</v>
      </c>
      <c r="G28" s="59">
        <f>1/F28</f>
        <v>0.11548288196218701</v>
      </c>
      <c r="H28" s="13"/>
      <c r="I28" s="36" t="s">
        <v>61</v>
      </c>
      <c r="J28" s="62">
        <f>+D28</f>
        <v>58.71</v>
      </c>
      <c r="K28" s="64">
        <v>4</v>
      </c>
      <c r="L28" s="72">
        <f>J28/K28</f>
        <v>14.6775</v>
      </c>
      <c r="M28" s="59">
        <f>1/L28</f>
        <v>6.8131493783001193E-2</v>
      </c>
      <c r="N28" s="13"/>
      <c r="O28" s="13"/>
    </row>
    <row r="29" spans="1:15" ht="15.75">
      <c r="A29" s="45" t="str">
        <f>+'S&amp;D'!A35</f>
        <v>PPL Corporation</v>
      </c>
      <c r="B29" s="45"/>
      <c r="C29" s="36" t="str">
        <f>+'S&amp;D'!B35</f>
        <v>PPL</v>
      </c>
      <c r="D29" s="62">
        <f>'S&amp;D'!G35</f>
        <v>29.22</v>
      </c>
      <c r="E29" s="64">
        <v>1.48</v>
      </c>
      <c r="F29" s="72">
        <f>D29/E29</f>
        <v>19.743243243243242</v>
      </c>
      <c r="G29" s="59">
        <f>1/F29</f>
        <v>5.065023956194388E-2</v>
      </c>
      <c r="H29" s="13"/>
      <c r="I29" s="36" t="s">
        <v>71</v>
      </c>
      <c r="J29" s="62">
        <f>+D29</f>
        <v>29.22</v>
      </c>
      <c r="K29" s="64">
        <v>1.6</v>
      </c>
      <c r="L29" s="72">
        <f>J29/K29</f>
        <v>18.262499999999999</v>
      </c>
      <c r="M29" s="59">
        <f>1/L29</f>
        <v>5.475701574264203E-2</v>
      </c>
      <c r="N29" s="13"/>
      <c r="O29" s="13"/>
    </row>
    <row r="30" spans="1:15" ht="15.75">
      <c r="A30" s="45" t="str">
        <f>+'S&amp;D'!A36</f>
        <v>The Southern Company</v>
      </c>
      <c r="B30" s="45"/>
      <c r="C30" s="36" t="str">
        <f>+'S&amp;D'!B36</f>
        <v>SO</v>
      </c>
      <c r="D30" s="62">
        <f>'S&amp;D'!G36</f>
        <v>71.41</v>
      </c>
      <c r="E30" s="64">
        <v>3.65</v>
      </c>
      <c r="F30" s="72">
        <f>D30/E30</f>
        <v>19.564383561643837</v>
      </c>
      <c r="G30" s="59">
        <f>1/F30</f>
        <v>5.1113289455258365E-2</v>
      </c>
      <c r="H30" s="13"/>
      <c r="I30" s="36" t="s">
        <v>73</v>
      </c>
      <c r="J30" s="62">
        <f>+D30</f>
        <v>71.41</v>
      </c>
      <c r="K30" s="64">
        <v>3.7</v>
      </c>
      <c r="L30" s="72">
        <f>J30/K30</f>
        <v>19.299999999999997</v>
      </c>
      <c r="M30" s="59">
        <f>1/L30</f>
        <v>5.1813471502590684E-2</v>
      </c>
      <c r="N30" s="13"/>
      <c r="O30" s="13"/>
    </row>
    <row r="31" spans="1:15" ht="15.75">
      <c r="A31" s="45" t="str">
        <f>+'S&amp;D'!A37</f>
        <v>WEC Energy Group</v>
      </c>
      <c r="B31" s="45"/>
      <c r="C31" s="36" t="str">
        <f>+'S&amp;D'!B37</f>
        <v>WEC</v>
      </c>
      <c r="D31" s="62">
        <f>'S&amp;D'!G37</f>
        <v>93.76</v>
      </c>
      <c r="E31" s="64">
        <v>4.46</v>
      </c>
      <c r="F31" s="72">
        <f>D31/E31</f>
        <v>21.022421524663677</v>
      </c>
      <c r="G31" s="59">
        <f>1/F31</f>
        <v>4.7568259385665529E-2</v>
      </c>
      <c r="H31" s="13"/>
      <c r="I31" s="36" t="s">
        <v>62</v>
      </c>
      <c r="J31" s="62">
        <f>+D31</f>
        <v>93.76</v>
      </c>
      <c r="K31" s="64">
        <v>4.5999999999999996</v>
      </c>
      <c r="L31" s="72">
        <f>J31/K31</f>
        <v>20.382608695652177</v>
      </c>
      <c r="M31" s="59">
        <f>1/L31</f>
        <v>4.906143344709897E-2</v>
      </c>
      <c r="N31" s="13"/>
      <c r="O31" s="13"/>
    </row>
    <row r="32" spans="1:15" ht="16.5" thickBot="1">
      <c r="A32" s="13"/>
      <c r="B32" s="13"/>
      <c r="C32" s="73"/>
      <c r="D32" s="73"/>
      <c r="E32" s="73"/>
      <c r="F32" s="73"/>
      <c r="G32" s="73"/>
      <c r="H32" s="13"/>
      <c r="I32" s="73"/>
      <c r="J32" s="67" t="s">
        <v>0</v>
      </c>
      <c r="K32" s="73"/>
      <c r="L32" s="73"/>
      <c r="M32" s="73"/>
      <c r="N32" s="13"/>
      <c r="O32" s="13"/>
    </row>
    <row r="33" spans="1:15" ht="15.75" thickTop="1">
      <c r="A33" s="13"/>
      <c r="B33" s="13"/>
      <c r="D33" s="15" t="s">
        <v>65</v>
      </c>
      <c r="E33" s="339">
        <v>6.78</v>
      </c>
      <c r="F33" s="339">
        <v>22.3</v>
      </c>
      <c r="G33" s="323">
        <v>0.11550000000000001</v>
      </c>
      <c r="H33" s="13"/>
      <c r="J33" s="15" t="s">
        <v>65</v>
      </c>
      <c r="K33" s="339">
        <v>6.25</v>
      </c>
      <c r="L33" s="339">
        <v>20.76</v>
      </c>
      <c r="M33" s="323">
        <v>6.8099999999999994E-2</v>
      </c>
      <c r="N33" s="13"/>
      <c r="O33" s="13"/>
    </row>
    <row r="34" spans="1:15">
      <c r="A34" s="13"/>
      <c r="B34" s="13"/>
      <c r="D34" s="313" t="s">
        <v>66</v>
      </c>
      <c r="E34" s="345">
        <v>1.38</v>
      </c>
      <c r="F34" s="345">
        <v>8.66</v>
      </c>
      <c r="G34" s="324">
        <v>4.48E-2</v>
      </c>
      <c r="H34" s="13"/>
      <c r="J34" s="313" t="s">
        <v>66</v>
      </c>
      <c r="K34" s="345">
        <v>1.5</v>
      </c>
      <c r="L34" s="345">
        <v>14.68</v>
      </c>
      <c r="M34" s="324">
        <v>4.82E-2</v>
      </c>
      <c r="N34" s="13"/>
      <c r="O34" s="13"/>
    </row>
    <row r="35" spans="1:15">
      <c r="A35" s="13"/>
      <c r="B35" s="13"/>
      <c r="D35" s="15" t="s">
        <v>18</v>
      </c>
      <c r="E35" s="74">
        <f>MEDIAN(E16:E31)</f>
        <v>3.5149999999999997</v>
      </c>
      <c r="F35" s="22">
        <f>MEDIAN(F16:F31)</f>
        <v>19.983343233343234</v>
      </c>
      <c r="G35" s="59">
        <f>MEDIAN(G16:G31)</f>
        <v>5.0048901704536512E-2</v>
      </c>
      <c r="H35" s="13"/>
      <c r="J35" s="15" t="s">
        <v>18</v>
      </c>
      <c r="K35" s="74">
        <f>MEDIAN(K16:K31)</f>
        <v>3.7750000000000004</v>
      </c>
      <c r="L35" s="22">
        <f>MEDIAN(L16:L31)</f>
        <v>18.92136551724138</v>
      </c>
      <c r="M35" s="59">
        <f>MEDIAN(M16:M31)</f>
        <v>5.2852314098534199E-2</v>
      </c>
      <c r="N35" s="13"/>
      <c r="O35" s="13"/>
    </row>
    <row r="36" spans="1:15">
      <c r="A36" s="13"/>
      <c r="B36" s="13"/>
      <c r="D36" s="15" t="s">
        <v>466</v>
      </c>
      <c r="E36" s="18">
        <f>AVERAGE(E16:E31)</f>
        <v>3.71875</v>
      </c>
      <c r="F36" s="22">
        <f>AVERAGE(F16:F31)</f>
        <v>19.408407943738577</v>
      </c>
      <c r="G36" s="75">
        <f>AVERAGE(G16:G31)</f>
        <v>5.4052885351485738E-2</v>
      </c>
      <c r="H36" s="13"/>
      <c r="J36" s="15" t="s">
        <v>466</v>
      </c>
      <c r="K36" s="18">
        <f>AVERAGE(K16:K31)</f>
        <v>3.8156249999999998</v>
      </c>
      <c r="L36" s="22">
        <f>AVERAGE(L16:L31)</f>
        <v>18.504406784585214</v>
      </c>
      <c r="M36" s="75">
        <f>AVERAGE(M16:M31)</f>
        <v>5.4461724587961641E-2</v>
      </c>
      <c r="N36" s="13"/>
      <c r="O36" s="13"/>
    </row>
    <row r="37" spans="1:15">
      <c r="A37" s="13"/>
      <c r="B37" s="13"/>
      <c r="C37" s="13"/>
      <c r="D37" s="13"/>
      <c r="E37" s="13"/>
      <c r="F37" s="13"/>
      <c r="G37" s="13"/>
      <c r="H37" s="13"/>
      <c r="I37" s="13"/>
      <c r="J37" s="13"/>
      <c r="K37" s="13"/>
      <c r="L37" s="13"/>
      <c r="M37" s="13"/>
      <c r="N37" s="13"/>
      <c r="O37" s="13"/>
    </row>
    <row r="38" spans="1:15" ht="20.25">
      <c r="A38" s="13"/>
      <c r="B38" s="13"/>
      <c r="C38" s="13"/>
      <c r="D38" s="13"/>
      <c r="E38" s="79" t="s">
        <v>109</v>
      </c>
      <c r="F38" s="371">
        <v>19.41</v>
      </c>
      <c r="G38" s="372">
        <v>5.4100000000000002E-2</v>
      </c>
      <c r="H38" s="13"/>
      <c r="I38" s="13"/>
      <c r="J38" s="13"/>
      <c r="K38" s="79" t="s">
        <v>109</v>
      </c>
      <c r="L38" s="373">
        <v>18.5</v>
      </c>
      <c r="M38" s="372">
        <v>5.45E-2</v>
      </c>
      <c r="N38" s="13"/>
      <c r="O38" s="13"/>
    </row>
    <row r="39" spans="1:15">
      <c r="A39" s="13"/>
      <c r="B39" s="13"/>
      <c r="C39" s="13"/>
      <c r="D39" s="13"/>
      <c r="E39" s="13"/>
      <c r="F39" s="13"/>
      <c r="K39" s="13"/>
      <c r="L39" s="13"/>
      <c r="M39" s="13"/>
      <c r="N39" s="13"/>
      <c r="O39" s="13"/>
    </row>
    <row r="40" spans="1:15">
      <c r="A40" s="13"/>
      <c r="B40" s="13"/>
      <c r="C40" s="13"/>
      <c r="D40" s="13"/>
      <c r="E40" s="13"/>
      <c r="F40" s="13"/>
      <c r="K40" s="13"/>
      <c r="L40" s="13"/>
      <c r="M40" s="13"/>
      <c r="N40" s="13"/>
      <c r="O40" s="13"/>
    </row>
    <row r="41" spans="1:15" ht="15.75" thickBot="1">
      <c r="A41" s="13"/>
      <c r="B41" s="13"/>
      <c r="C41" s="13"/>
      <c r="D41" s="13"/>
      <c r="E41" s="13"/>
      <c r="F41" s="13"/>
      <c r="K41" s="13"/>
      <c r="L41" s="13"/>
      <c r="M41" s="13"/>
      <c r="N41" s="13"/>
      <c r="O41" s="13"/>
    </row>
    <row r="42" spans="1:15" ht="30.75" customHeight="1" thickBot="1">
      <c r="A42" s="77" t="s">
        <v>0</v>
      </c>
      <c r="B42" s="77"/>
      <c r="C42" s="13"/>
      <c r="D42" s="13"/>
      <c r="E42" s="13"/>
      <c r="F42" s="13"/>
      <c r="G42" s="25" t="s">
        <v>161</v>
      </c>
      <c r="H42" s="13"/>
      <c r="I42" s="242">
        <f>(+F38+L38)/2</f>
        <v>18.954999999999998</v>
      </c>
      <c r="J42" s="243">
        <f>(+G38+M38)/2</f>
        <v>5.4300000000000001E-2</v>
      </c>
      <c r="N42" s="13"/>
      <c r="O42" s="13"/>
    </row>
    <row r="43" spans="1:15" ht="16.5">
      <c r="A43" s="77" t="s">
        <v>0</v>
      </c>
      <c r="B43" s="77"/>
      <c r="C43" s="13"/>
      <c r="D43" s="13"/>
      <c r="E43" s="13"/>
      <c r="F43" s="13"/>
      <c r="G43" s="13"/>
      <c r="H43" s="13"/>
      <c r="I43" s="13"/>
      <c r="J43" s="13"/>
      <c r="K43" s="13"/>
      <c r="L43" s="13"/>
      <c r="M43" s="13"/>
      <c r="N43" s="13"/>
      <c r="O43" s="13"/>
    </row>
    <row r="44" spans="1:15">
      <c r="A44" s="13"/>
      <c r="B44" s="13"/>
      <c r="C44" s="13"/>
      <c r="D44" s="13"/>
      <c r="E44" s="13"/>
      <c r="F44" s="13"/>
      <c r="G44" s="13"/>
      <c r="H44" s="13"/>
      <c r="I44" s="13"/>
      <c r="J44" s="13"/>
      <c r="K44" s="13"/>
      <c r="L44" s="13"/>
      <c r="M44" s="13"/>
      <c r="N44" s="13"/>
      <c r="O44" s="13"/>
    </row>
    <row r="45" spans="1:15">
      <c r="A45" s="13"/>
      <c r="B45" s="13"/>
      <c r="C45" s="13"/>
      <c r="D45" s="13"/>
      <c r="E45" s="13"/>
      <c r="F45" s="13"/>
      <c r="G45" s="13"/>
      <c r="H45" s="13"/>
      <c r="I45" s="13"/>
      <c r="J45" s="13"/>
      <c r="K45" s="13"/>
      <c r="L45" s="13"/>
      <c r="M45" s="13"/>
      <c r="N45" s="13"/>
      <c r="O45" s="13"/>
    </row>
    <row r="46" spans="1:15" ht="15.75" thickBot="1">
      <c r="B46" s="167"/>
      <c r="C46" s="167"/>
      <c r="D46" s="167"/>
      <c r="E46" s="167"/>
      <c r="F46" s="167"/>
      <c r="G46" s="167"/>
      <c r="H46" s="167"/>
    </row>
    <row r="47" spans="1:15" ht="20.25">
      <c r="B47" s="32"/>
      <c r="C47" s="13"/>
      <c r="D47" s="13"/>
      <c r="E47" s="33" t="s">
        <v>510</v>
      </c>
      <c r="F47" s="13"/>
      <c r="G47" s="13"/>
    </row>
    <row r="48" spans="1:15" ht="18.75" thickBot="1">
      <c r="A48" s="32"/>
      <c r="B48" s="168"/>
      <c r="C48" s="30"/>
      <c r="D48" s="30"/>
      <c r="E48" s="38" t="s">
        <v>111</v>
      </c>
      <c r="F48" s="30"/>
      <c r="G48" s="30"/>
      <c r="H48" s="167"/>
    </row>
    <row r="49" spans="1:7" ht="15.75" thickBot="1">
      <c r="A49" s="35" t="s">
        <v>0</v>
      </c>
      <c r="B49" s="35"/>
      <c r="C49" s="35" t="s">
        <v>0</v>
      </c>
      <c r="D49" s="35" t="s">
        <v>0</v>
      </c>
      <c r="E49" s="35" t="s">
        <v>0</v>
      </c>
      <c r="F49" s="35" t="s">
        <v>0</v>
      </c>
      <c r="G49" s="35" t="s">
        <v>0</v>
      </c>
    </row>
    <row r="50" spans="1:7">
      <c r="A50" s="36" t="s">
        <v>0</v>
      </c>
      <c r="B50" s="36"/>
      <c r="C50" s="36" t="s">
        <v>3</v>
      </c>
      <c r="D50" s="36" t="s">
        <v>408</v>
      </c>
      <c r="E50" s="36" t="s">
        <v>409</v>
      </c>
      <c r="F50" s="36" t="s">
        <v>148</v>
      </c>
      <c r="G50" s="36" t="s">
        <v>27</v>
      </c>
    </row>
    <row r="51" spans="1:7" ht="15.75" thickBot="1">
      <c r="A51" s="38" t="s">
        <v>2</v>
      </c>
      <c r="B51" s="38"/>
      <c r="C51" s="38" t="s">
        <v>4</v>
      </c>
      <c r="D51" s="38" t="s">
        <v>28</v>
      </c>
      <c r="E51" s="38" t="s">
        <v>206</v>
      </c>
      <c r="F51" s="38" t="s">
        <v>29</v>
      </c>
      <c r="G51" s="38" t="s">
        <v>30</v>
      </c>
    </row>
    <row r="52" spans="1:7">
      <c r="A52" s="40" t="s">
        <v>0</v>
      </c>
      <c r="B52" s="40"/>
      <c r="C52" s="40" t="s">
        <v>0</v>
      </c>
      <c r="D52" s="41" t="s">
        <v>150</v>
      </c>
      <c r="E52" s="78" t="s">
        <v>281</v>
      </c>
      <c r="F52" s="40" t="s">
        <v>0</v>
      </c>
      <c r="G52" s="40" t="s">
        <v>0</v>
      </c>
    </row>
    <row r="53" spans="1:7">
      <c r="A53" s="36"/>
      <c r="B53" s="36"/>
      <c r="C53" s="36"/>
      <c r="D53" s="36"/>
      <c r="E53" s="36"/>
      <c r="F53" s="36"/>
      <c r="G53" s="36"/>
    </row>
    <row r="54" spans="1:7">
      <c r="A54" s="13"/>
      <c r="B54" s="13"/>
      <c r="C54" s="13"/>
      <c r="D54" s="13"/>
      <c r="E54" s="13"/>
      <c r="F54" s="13"/>
      <c r="G54" s="13"/>
    </row>
    <row r="55" spans="1:7" ht="15.75">
      <c r="A55" s="45" t="str">
        <f>+'S&amp;D'!A22</f>
        <v>ALLETE Inc</v>
      </c>
      <c r="B55" s="45"/>
      <c r="C55" s="36" t="str">
        <f>+'S&amp;D'!B22</f>
        <v>ALE</v>
      </c>
      <c r="D55" s="62">
        <f>'S&amp;D'!G22</f>
        <v>64.510000000000005</v>
      </c>
      <c r="E55" s="64">
        <v>5</v>
      </c>
      <c r="F55" s="72">
        <f>D55/E55</f>
        <v>12.902000000000001</v>
      </c>
      <c r="G55" s="59">
        <f t="shared" ref="G55:G70" si="6">1/F55</f>
        <v>7.7507363199503951E-2</v>
      </c>
    </row>
    <row r="56" spans="1:7" ht="15.75">
      <c r="A56" s="45" t="str">
        <f>+'S&amp;D'!A23</f>
        <v>Alliant Energy</v>
      </c>
      <c r="B56" s="45"/>
      <c r="C56" s="36" t="str">
        <f>+'S&amp;D'!B23</f>
        <v>LNT</v>
      </c>
      <c r="D56" s="62">
        <f>'S&amp;D'!G23</f>
        <v>55.21</v>
      </c>
      <c r="E56" s="64">
        <v>3.8</v>
      </c>
      <c r="F56" s="72">
        <f t="shared" ref="F56:F57" si="7">D56/E56</f>
        <v>14.528947368421054</v>
      </c>
      <c r="G56" s="59">
        <f t="shared" si="6"/>
        <v>6.8828110849483787E-2</v>
      </c>
    </row>
    <row r="57" spans="1:7" ht="15.75">
      <c r="A57" s="45" t="str">
        <f>+'S&amp;D'!A24</f>
        <v>AMEREN Corporation</v>
      </c>
      <c r="B57" s="45"/>
      <c r="C57" s="36" t="str">
        <f>+'S&amp;D'!B24</f>
        <v>AEE</v>
      </c>
      <c r="D57" s="62">
        <f>'S&amp;D'!G24</f>
        <v>88.92</v>
      </c>
      <c r="E57" s="64">
        <v>5.5</v>
      </c>
      <c r="F57" s="72">
        <f t="shared" si="7"/>
        <v>16.167272727272728</v>
      </c>
      <c r="G57" s="59">
        <f t="shared" si="6"/>
        <v>6.1853351327035538E-2</v>
      </c>
    </row>
    <row r="58" spans="1:7" ht="15.75">
      <c r="A58" s="45" t="str">
        <f>+'S&amp;D'!A25</f>
        <v>American Electric Power</v>
      </c>
      <c r="B58" s="45"/>
      <c r="C58" s="36" t="str">
        <f>+'S&amp;D'!B25</f>
        <v>AEP</v>
      </c>
      <c r="D58" s="62">
        <f>'S&amp;D'!G25</f>
        <v>94.95</v>
      </c>
      <c r="E58" s="64">
        <v>6.8</v>
      </c>
      <c r="F58" s="72">
        <f>D58/E58</f>
        <v>13.963235294117649</v>
      </c>
      <c r="G58" s="59">
        <f t="shared" si="6"/>
        <v>7.1616640337019477E-2</v>
      </c>
    </row>
    <row r="59" spans="1:7" ht="15.75">
      <c r="A59" s="45" t="str">
        <f>+'S&amp;D'!A26</f>
        <v>Centerpoint Energy</v>
      </c>
      <c r="B59" s="45"/>
      <c r="C59" s="36" t="str">
        <f>+'S&amp;D'!B26</f>
        <v>CNP</v>
      </c>
      <c r="D59" s="62">
        <f>'S&amp;D'!G26</f>
        <v>29.99</v>
      </c>
      <c r="E59" s="64">
        <v>1.85</v>
      </c>
      <c r="F59" s="72">
        <f t="shared" ref="F59:F70" si="8">D59/E59</f>
        <v>16.210810810810809</v>
      </c>
      <c r="G59" s="59">
        <f t="shared" si="6"/>
        <v>6.168722907635879E-2</v>
      </c>
    </row>
    <row r="60" spans="1:7" ht="15.75">
      <c r="A60" s="45" t="str">
        <f>+'S&amp;D'!A27</f>
        <v>CMS Energy</v>
      </c>
      <c r="B60" s="45"/>
      <c r="C60" s="36" t="str">
        <f>+'S&amp;D'!B27</f>
        <v>CMS</v>
      </c>
      <c r="D60" s="62">
        <f>'S&amp;D'!G27</f>
        <v>63.33</v>
      </c>
      <c r="E60" s="64">
        <v>3.75</v>
      </c>
      <c r="F60" s="72">
        <f t="shared" si="8"/>
        <v>16.887999999999998</v>
      </c>
      <c r="G60" s="59">
        <f t="shared" si="6"/>
        <v>5.9213642823306496E-2</v>
      </c>
    </row>
    <row r="61" spans="1:7" ht="15.75">
      <c r="A61" s="45" t="str">
        <f>+'S&amp;D'!A28</f>
        <v>DTE Energy</v>
      </c>
      <c r="B61" s="45"/>
      <c r="C61" s="36" t="str">
        <f>+'S&amp;D'!B28</f>
        <v>DTE</v>
      </c>
      <c r="D61" s="62">
        <f>'S&amp;D'!G28</f>
        <v>117.53</v>
      </c>
      <c r="E61" s="64">
        <v>8.3000000000000007</v>
      </c>
      <c r="F61" s="72">
        <f t="shared" si="8"/>
        <v>14.16024096385542</v>
      </c>
      <c r="G61" s="59">
        <f t="shared" si="6"/>
        <v>7.0620267165830003E-2</v>
      </c>
    </row>
    <row r="62" spans="1:7" ht="15.75">
      <c r="A62" s="45" t="str">
        <f>+'S&amp;D'!A29</f>
        <v>Duke Energy</v>
      </c>
      <c r="B62" s="45"/>
      <c r="C62" s="36" t="str">
        <f>+'S&amp;D'!B29</f>
        <v>DUK</v>
      </c>
      <c r="D62" s="62">
        <f>'S&amp;D'!G29</f>
        <v>102.99</v>
      </c>
      <c r="E62" s="64">
        <v>6.8</v>
      </c>
      <c r="F62" s="72">
        <f t="shared" si="8"/>
        <v>15.145588235294117</v>
      </c>
      <c r="G62" s="59">
        <f t="shared" si="6"/>
        <v>6.6025827750267024E-2</v>
      </c>
    </row>
    <row r="63" spans="1:7" ht="15.75">
      <c r="A63" s="45" t="str">
        <f>+'S&amp;D'!A30</f>
        <v>Entergy Corp</v>
      </c>
      <c r="B63" s="45"/>
      <c r="C63" s="36" t="str">
        <f>+'S&amp;D'!B30</f>
        <v>ETR</v>
      </c>
      <c r="D63" s="62">
        <f>'S&amp;D'!G30</f>
        <v>112.5</v>
      </c>
      <c r="E63" s="64">
        <v>6.5</v>
      </c>
      <c r="F63" s="72">
        <f t="shared" si="8"/>
        <v>17.307692307692307</v>
      </c>
      <c r="G63" s="59">
        <f t="shared" si="6"/>
        <v>5.7777777777777782E-2</v>
      </c>
    </row>
    <row r="64" spans="1:7" ht="15.75">
      <c r="A64" s="45" t="str">
        <f>+'S&amp;D'!A31</f>
        <v>Evergy Inc</v>
      </c>
      <c r="B64" s="45"/>
      <c r="C64" s="36" t="str">
        <f>+'S&amp;D'!B31</f>
        <v>EVRG</v>
      </c>
      <c r="D64" s="62">
        <f>'S&amp;D'!G31</f>
        <v>62.93</v>
      </c>
      <c r="E64" s="64">
        <v>4.8499999999999996</v>
      </c>
      <c r="F64" s="72">
        <f t="shared" si="8"/>
        <v>12.975257731958763</v>
      </c>
      <c r="G64" s="59">
        <f t="shared" si="6"/>
        <v>7.7069760050850145E-2</v>
      </c>
    </row>
    <row r="65" spans="1:7" ht="15.75">
      <c r="A65" s="45" t="str">
        <f>+'S&amp;D'!A32</f>
        <v>FirstEnergy Corp</v>
      </c>
      <c r="B65" s="45"/>
      <c r="C65" s="36" t="str">
        <f>+'S&amp;D'!B32</f>
        <v>FE</v>
      </c>
      <c r="D65" s="62">
        <f>'S&amp;D'!G32</f>
        <v>41.94</v>
      </c>
      <c r="E65" s="64">
        <v>3.1</v>
      </c>
      <c r="F65" s="72">
        <f t="shared" si="8"/>
        <v>13.529032258064515</v>
      </c>
      <c r="G65" s="59">
        <f t="shared" si="6"/>
        <v>7.3915116833571784E-2</v>
      </c>
    </row>
    <row r="66" spans="1:7" ht="15.75">
      <c r="A66" s="45" t="str">
        <f>+'S&amp;D'!A33</f>
        <v>OGE Energy Corp.</v>
      </c>
      <c r="B66" s="45"/>
      <c r="C66" s="36" t="str">
        <f>+'S&amp;D'!B33</f>
        <v>OGE</v>
      </c>
      <c r="D66" s="62">
        <f>'S&amp;D'!G33</f>
        <v>39.549999999999997</v>
      </c>
      <c r="E66" s="64">
        <v>3.15</v>
      </c>
      <c r="F66" s="72">
        <f t="shared" si="8"/>
        <v>12.555555555555555</v>
      </c>
      <c r="G66" s="59">
        <f t="shared" si="6"/>
        <v>7.9646017699115043E-2</v>
      </c>
    </row>
    <row r="67" spans="1:7" ht="15.75">
      <c r="A67" s="45" t="str">
        <f>+'S&amp;D'!A34</f>
        <v>Otter Tail Corp</v>
      </c>
      <c r="B67" s="45"/>
      <c r="C67" s="36" t="str">
        <f>+'S&amp;D'!B34</f>
        <v>OTTR</v>
      </c>
      <c r="D67" s="62">
        <f>'S&amp;D'!G34</f>
        <v>58.71</v>
      </c>
      <c r="E67" s="64">
        <v>3.65</v>
      </c>
      <c r="F67" s="72">
        <f t="shared" si="8"/>
        <v>16.084931506849315</v>
      </c>
      <c r="G67" s="59">
        <f t="shared" si="6"/>
        <v>6.2169988076988585E-2</v>
      </c>
    </row>
    <row r="68" spans="1:7" ht="15.75">
      <c r="A68" s="45" t="str">
        <f>+'S&amp;D'!A35</f>
        <v>PPL Corporation</v>
      </c>
      <c r="B68" s="45"/>
      <c r="C68" s="36" t="str">
        <f>+'S&amp;D'!B35</f>
        <v>PPL</v>
      </c>
      <c r="D68" s="62">
        <f>'S&amp;D'!G35</f>
        <v>29.22</v>
      </c>
      <c r="E68" s="64">
        <v>2.1</v>
      </c>
      <c r="F68" s="72">
        <f t="shared" si="8"/>
        <v>13.914285714285713</v>
      </c>
      <c r="G68" s="59">
        <f t="shared" si="6"/>
        <v>7.186858316221767E-2</v>
      </c>
    </row>
    <row r="69" spans="1:7" ht="15.75">
      <c r="A69" s="45" t="str">
        <f>+'S&amp;D'!A36</f>
        <v>The Southern Company</v>
      </c>
      <c r="B69" s="45"/>
      <c r="C69" s="36" t="str">
        <f>+'S&amp;D'!B36</f>
        <v>SO</v>
      </c>
      <c r="D69" s="62">
        <f>'S&amp;D'!G36</f>
        <v>71.41</v>
      </c>
      <c r="E69" s="64">
        <v>5.15</v>
      </c>
      <c r="F69" s="72">
        <f t="shared" si="8"/>
        <v>13.866019417475727</v>
      </c>
      <c r="G69" s="59">
        <f t="shared" si="6"/>
        <v>7.2118750875227566E-2</v>
      </c>
    </row>
    <row r="70" spans="1:7" ht="15.75">
      <c r="A70" s="45" t="str">
        <f>+'S&amp;D'!A37</f>
        <v>WEC Energy Group</v>
      </c>
      <c r="B70" s="45"/>
      <c r="C70" s="36" t="str">
        <f>+'S&amp;D'!B37</f>
        <v>WEC</v>
      </c>
      <c r="D70" s="62">
        <f>'S&amp;D'!G37</f>
        <v>93.76</v>
      </c>
      <c r="E70" s="64">
        <v>5.9</v>
      </c>
      <c r="F70" s="72">
        <f t="shared" si="8"/>
        <v>15.891525423728813</v>
      </c>
      <c r="G70" s="59">
        <f t="shared" si="6"/>
        <v>6.2926621160409563E-2</v>
      </c>
    </row>
    <row r="71" spans="1:7" ht="15.75" thickBot="1">
      <c r="A71" s="13"/>
      <c r="B71" s="13"/>
      <c r="C71" s="73"/>
      <c r="D71" s="73"/>
      <c r="E71" s="73"/>
      <c r="F71" s="73"/>
      <c r="G71" s="73"/>
    </row>
    <row r="72" spans="1:7" ht="15.75" thickTop="1">
      <c r="A72" s="13"/>
      <c r="B72" s="13"/>
      <c r="D72" s="15" t="s">
        <v>65</v>
      </c>
      <c r="E72" s="339">
        <v>8.3000000000000007</v>
      </c>
      <c r="F72" s="339">
        <v>17.309999999999999</v>
      </c>
      <c r="G72" s="323">
        <v>7.9600000000000004E-2</v>
      </c>
    </row>
    <row r="73" spans="1:7">
      <c r="A73" s="13"/>
      <c r="B73" s="13"/>
      <c r="D73" s="15" t="s">
        <v>66</v>
      </c>
      <c r="E73" s="339">
        <v>1.85</v>
      </c>
      <c r="F73" s="339">
        <v>12.56</v>
      </c>
      <c r="G73" s="323">
        <v>5.7799999999999997E-2</v>
      </c>
    </row>
    <row r="74" spans="1:7">
      <c r="A74" s="13"/>
      <c r="B74" s="13"/>
      <c r="D74" s="15" t="s">
        <v>18</v>
      </c>
      <c r="E74" s="74">
        <f>MEDIAN(E55:E70)</f>
        <v>4.9249999999999998</v>
      </c>
      <c r="F74" s="22">
        <f>MEDIAN(F55:F70)</f>
        <v>14.344594166138236</v>
      </c>
      <c r="G74" s="59">
        <f>MEDIAN(G55:G70)</f>
        <v>6.9724189007656895E-2</v>
      </c>
    </row>
    <row r="75" spans="1:7">
      <c r="A75" s="13"/>
      <c r="B75" s="13"/>
      <c r="D75" s="15" t="s">
        <v>466</v>
      </c>
      <c r="E75" s="18">
        <f>AVERAGE(E55:E70)</f>
        <v>4.7625000000000002</v>
      </c>
      <c r="F75" s="22">
        <f>AVERAGE(F55:F70)</f>
        <v>14.755649707211404</v>
      </c>
      <c r="G75" s="75">
        <f>AVERAGE(G55:G70)</f>
        <v>6.84278155103102E-2</v>
      </c>
    </row>
    <row r="76" spans="1:7">
      <c r="A76" s="13"/>
      <c r="B76" s="13"/>
      <c r="C76" s="13"/>
      <c r="D76" s="13"/>
      <c r="E76" s="13"/>
      <c r="F76" s="13"/>
      <c r="G76" s="13"/>
    </row>
    <row r="77" spans="1:7" ht="20.25">
      <c r="A77" s="13"/>
      <c r="B77" s="13"/>
      <c r="C77" s="13"/>
      <c r="D77" s="13"/>
      <c r="E77" s="79" t="s">
        <v>109</v>
      </c>
      <c r="F77" s="371">
        <v>14.76</v>
      </c>
      <c r="G77" s="372">
        <v>6.8400000000000002E-2</v>
      </c>
    </row>
  </sheetData>
  <pageMargins left="0.25" right="0.25" top="0.75" bottom="0.75" header="0.3" footer="0.3"/>
  <pageSetup scale="3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47"/>
  <sheetViews>
    <sheetView view="pageBreakPreview" zoomScale="60" zoomScaleNormal="80" workbookViewId="0">
      <selection activeCell="G15" sqref="G15"/>
    </sheetView>
  </sheetViews>
  <sheetFormatPr defaultRowHeight="15"/>
  <cols>
    <col min="1" max="1" width="62.42578125" customWidth="1"/>
    <col min="2" max="2" width="28.28515625" customWidth="1"/>
    <col min="3" max="3" width="30.28515625" customWidth="1"/>
    <col min="4" max="4" width="26.7109375" customWidth="1"/>
    <col min="5"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5" t="s">
        <v>1</v>
      </c>
      <c r="C1" s="25"/>
      <c r="D1" s="25"/>
      <c r="E1" s="13"/>
      <c r="F1" s="13"/>
      <c r="G1" s="13"/>
      <c r="H1" s="13"/>
      <c r="I1" s="13"/>
      <c r="J1" s="13"/>
      <c r="K1" s="13"/>
    </row>
    <row r="2" spans="1:11" ht="15.75">
      <c r="A2" s="26" t="s">
        <v>9</v>
      </c>
      <c r="C2" s="26"/>
      <c r="D2" s="26"/>
      <c r="E2" s="13"/>
      <c r="F2" s="13"/>
      <c r="G2" s="13"/>
      <c r="H2" s="13"/>
      <c r="I2" s="13"/>
      <c r="J2" s="13"/>
      <c r="K2" s="13"/>
    </row>
    <row r="3" spans="1:11">
      <c r="A3" s="27" t="s">
        <v>97</v>
      </c>
      <c r="C3" s="27"/>
      <c r="D3" s="27"/>
      <c r="E3" s="13"/>
      <c r="F3" s="13"/>
      <c r="G3" s="13"/>
      <c r="H3" s="13"/>
      <c r="I3" s="13"/>
      <c r="J3" s="13"/>
      <c r="K3" s="13"/>
    </row>
    <row r="4" spans="1:11">
      <c r="B4" s="27"/>
      <c r="C4" s="27"/>
      <c r="D4" s="27"/>
      <c r="E4" s="13"/>
      <c r="F4" s="13"/>
      <c r="G4" s="13"/>
      <c r="H4" s="13"/>
      <c r="I4" s="13"/>
      <c r="J4" s="13"/>
      <c r="K4" s="13"/>
    </row>
    <row r="5" spans="1:11">
      <c r="B5" s="13"/>
      <c r="C5" s="13"/>
      <c r="D5" s="13"/>
      <c r="E5" s="13"/>
      <c r="F5" s="13"/>
      <c r="G5" s="13"/>
      <c r="H5" s="13"/>
      <c r="I5" s="28" t="s">
        <v>0</v>
      </c>
      <c r="J5" s="28"/>
      <c r="K5" s="13"/>
    </row>
    <row r="6" spans="1:11" ht="15.75" thickBot="1">
      <c r="B6" s="13"/>
      <c r="C6" s="13"/>
      <c r="D6" s="30"/>
      <c r="E6" s="30"/>
      <c r="F6" s="167"/>
      <c r="H6" s="13"/>
      <c r="I6" s="13"/>
      <c r="J6" s="13"/>
      <c r="K6" s="13"/>
    </row>
    <row r="7" spans="1:11" ht="21" thickBot="1">
      <c r="A7" s="29" t="str">
        <f>+'S&amp;D'!A12</f>
        <v>Electric Utilities</v>
      </c>
      <c r="C7" s="32"/>
      <c r="D7" s="32"/>
      <c r="E7" s="33" t="s">
        <v>295</v>
      </c>
      <c r="H7" s="13"/>
      <c r="I7" s="13"/>
      <c r="J7" s="13"/>
      <c r="K7" s="13"/>
    </row>
    <row r="8" spans="1:11" ht="18.75" thickBot="1">
      <c r="B8" s="32"/>
      <c r="C8" s="32"/>
      <c r="D8" s="168"/>
      <c r="E8" s="38" t="s">
        <v>111</v>
      </c>
      <c r="F8" s="167"/>
      <c r="H8" s="13"/>
      <c r="I8" s="13"/>
      <c r="J8" s="13"/>
      <c r="K8" s="13"/>
    </row>
    <row r="9" spans="1:11" ht="18">
      <c r="B9" s="32"/>
      <c r="C9" s="32"/>
      <c r="D9" s="32"/>
      <c r="E9" s="36"/>
      <c r="H9" s="13"/>
      <c r="I9" s="13"/>
      <c r="J9" s="13"/>
      <c r="K9" s="13"/>
    </row>
    <row r="10" spans="1:11" ht="18.75" thickBot="1">
      <c r="A10" s="168"/>
      <c r="B10" s="32"/>
      <c r="I10" s="13"/>
      <c r="J10" s="13"/>
      <c r="K10" s="13"/>
    </row>
    <row r="11" spans="1:11" ht="22.5" customHeight="1" thickBot="1">
      <c r="A11" s="181" t="s">
        <v>289</v>
      </c>
      <c r="B11" s="32"/>
      <c r="I11" s="13"/>
      <c r="J11" s="13"/>
      <c r="K11" s="13"/>
    </row>
    <row r="12" spans="1:11" ht="26.25" customHeight="1" thickBot="1">
      <c r="A12" s="180" t="s">
        <v>0</v>
      </c>
      <c r="B12" s="13"/>
      <c r="C12" s="13"/>
      <c r="D12" s="13"/>
      <c r="E12" s="13"/>
      <c r="F12" s="13"/>
      <c r="G12" s="13"/>
      <c r="H12" s="13"/>
      <c r="I12" s="13"/>
      <c r="J12" s="13"/>
      <c r="K12" s="13"/>
    </row>
    <row r="13" spans="1:11" ht="66.75" customHeight="1" thickBot="1">
      <c r="A13" s="247" t="s">
        <v>315</v>
      </c>
      <c r="B13" s="174" t="s">
        <v>363</v>
      </c>
      <c r="C13" s="174" t="s">
        <v>328</v>
      </c>
      <c r="D13" s="174" t="s">
        <v>472</v>
      </c>
      <c r="I13" s="13"/>
      <c r="J13" s="13"/>
      <c r="K13" s="13"/>
    </row>
    <row r="14" spans="1:11">
      <c r="A14" s="169"/>
      <c r="B14" s="235"/>
      <c r="C14" s="235"/>
      <c r="D14" s="235"/>
      <c r="I14" s="13"/>
      <c r="J14" s="13"/>
      <c r="K14" s="13"/>
    </row>
    <row r="15" spans="1:11" ht="18">
      <c r="A15" s="178" t="str">
        <f>+A7</f>
        <v>Electric Utilities</v>
      </c>
      <c r="B15" s="259">
        <v>0.06</v>
      </c>
      <c r="C15" s="259">
        <f>+'Dividends '!K35</f>
        <v>6.8299083509399214E-2</v>
      </c>
      <c r="D15" s="259">
        <f>+Earnings!K35</f>
        <v>8.4864208476051473E-2</v>
      </c>
      <c r="I15" s="13"/>
      <c r="J15" s="13"/>
      <c r="K15" s="13"/>
    </row>
    <row r="16" spans="1:11" ht="18.75" thickBot="1">
      <c r="A16" s="171" t="s">
        <v>0</v>
      </c>
      <c r="B16" s="236" t="s">
        <v>0</v>
      </c>
      <c r="C16" s="285">
        <f>+'Dividends '!K36</f>
        <v>6.2196847984409068E-2</v>
      </c>
      <c r="D16" s="285">
        <f>+Earnings!K36</f>
        <v>7.945868142385297E-2</v>
      </c>
      <c r="I16" s="13"/>
      <c r="J16" s="13"/>
      <c r="K16" s="13"/>
    </row>
    <row r="17" spans="1:11" ht="18">
      <c r="A17" s="245"/>
      <c r="B17" s="246"/>
      <c r="I17" s="13"/>
      <c r="J17" s="13"/>
      <c r="K17" s="13"/>
    </row>
    <row r="18" spans="1:11">
      <c r="A18" s="13"/>
      <c r="B18" s="13"/>
      <c r="C18" s="13"/>
      <c r="D18" s="13"/>
      <c r="E18" s="13"/>
      <c r="F18" s="13"/>
      <c r="G18" s="13"/>
      <c r="H18" s="13"/>
      <c r="I18" s="13"/>
      <c r="J18" s="13"/>
      <c r="K18" s="13"/>
    </row>
    <row r="19" spans="1:11" ht="15.75" thickBot="1">
      <c r="A19" s="13"/>
      <c r="B19" s="13"/>
      <c r="C19" s="13"/>
      <c r="D19" s="13"/>
      <c r="E19" s="13"/>
      <c r="F19" s="13"/>
      <c r="G19" s="13"/>
      <c r="H19" s="13"/>
      <c r="I19" s="13"/>
      <c r="J19" s="13"/>
      <c r="K19" s="13"/>
    </row>
    <row r="20" spans="1:11" ht="18.75" thickBot="1">
      <c r="A20" s="181" t="s">
        <v>314</v>
      </c>
      <c r="B20" s="32"/>
      <c r="I20" s="13"/>
      <c r="J20" s="13"/>
      <c r="K20" s="13"/>
    </row>
    <row r="21" spans="1:11" ht="16.5" thickBot="1">
      <c r="A21" s="180" t="s">
        <v>0</v>
      </c>
      <c r="B21" s="13"/>
      <c r="C21" s="13"/>
      <c r="D21" s="13"/>
      <c r="E21" s="13"/>
      <c r="F21" s="13"/>
      <c r="G21" s="13"/>
      <c r="H21" s="13"/>
      <c r="I21" s="13"/>
      <c r="J21" s="13"/>
      <c r="K21" s="13"/>
    </row>
    <row r="22" spans="1:11" ht="64.5" customHeight="1" thickBot="1">
      <c r="A22" s="247" t="s">
        <v>316</v>
      </c>
      <c r="B22" s="174" t="s">
        <v>362</v>
      </c>
      <c r="C22" s="173" t="s">
        <v>268</v>
      </c>
      <c r="D22" s="174" t="s">
        <v>269</v>
      </c>
      <c r="E22" s="174" t="s">
        <v>270</v>
      </c>
      <c r="F22" s="174" t="s">
        <v>363</v>
      </c>
      <c r="G22" s="286" t="s">
        <v>18</v>
      </c>
      <c r="H22" s="286" t="s">
        <v>19</v>
      </c>
      <c r="I22" s="13"/>
      <c r="J22" s="13"/>
      <c r="K22" s="13"/>
    </row>
    <row r="23" spans="1:11">
      <c r="A23" s="169"/>
      <c r="B23" s="235"/>
      <c r="C23" s="121"/>
      <c r="D23" s="235"/>
      <c r="E23" s="121"/>
      <c r="F23" s="235"/>
      <c r="G23" s="350"/>
      <c r="H23" s="183"/>
      <c r="I23" s="13"/>
      <c r="J23" s="13"/>
      <c r="K23" s="13"/>
    </row>
    <row r="24" spans="1:11" ht="18">
      <c r="A24" s="178" t="str">
        <f>+A7</f>
        <v>Electric Utilities</v>
      </c>
      <c r="B24" s="259">
        <v>0.06</v>
      </c>
      <c r="C24" s="348">
        <v>0.06</v>
      </c>
      <c r="D24" s="259">
        <v>0.06</v>
      </c>
      <c r="E24" s="348">
        <v>5.91E-2</v>
      </c>
      <c r="F24" s="259">
        <v>0.06</v>
      </c>
      <c r="G24" s="351">
        <f>MEDIAN(B24:F24)</f>
        <v>0.06</v>
      </c>
      <c r="H24" s="281">
        <f t="shared" ref="H24" si="0">AVERAGE(B24:F24)</f>
        <v>5.9819999999999998E-2</v>
      </c>
      <c r="I24" s="13"/>
      <c r="J24" s="13"/>
      <c r="K24" s="13"/>
    </row>
    <row r="25" spans="1:11" ht="18.75" thickBot="1">
      <c r="A25" s="171" t="s">
        <v>0</v>
      </c>
      <c r="B25" s="236" t="s">
        <v>0</v>
      </c>
      <c r="C25" s="179" t="s">
        <v>0</v>
      </c>
      <c r="D25" s="236" t="s">
        <v>0</v>
      </c>
      <c r="E25" s="179" t="s">
        <v>0</v>
      </c>
      <c r="F25" s="236" t="s">
        <v>0</v>
      </c>
      <c r="G25" s="352"/>
      <c r="H25" s="182"/>
      <c r="I25" s="13"/>
      <c r="J25" s="13"/>
      <c r="K25" s="13"/>
    </row>
    <row r="26" spans="1:11">
      <c r="A26" s="13"/>
      <c r="B26" s="13"/>
      <c r="C26" s="13"/>
      <c r="D26" s="13"/>
      <c r="E26" s="13"/>
      <c r="F26" s="13"/>
      <c r="G26" s="13"/>
      <c r="H26" s="13"/>
      <c r="I26" s="13"/>
      <c r="J26" s="13"/>
      <c r="K26" s="13"/>
    </row>
    <row r="27" spans="1:11">
      <c r="A27" s="13"/>
      <c r="B27" s="13"/>
      <c r="C27" s="13"/>
      <c r="D27" s="13"/>
      <c r="E27" s="13"/>
      <c r="F27" s="13"/>
      <c r="G27" s="13"/>
      <c r="H27" s="13"/>
      <c r="I27" s="13"/>
      <c r="J27" s="13"/>
      <c r="K27" s="13"/>
    </row>
    <row r="28" spans="1:11">
      <c r="A28" s="13"/>
      <c r="B28" s="13" t="s">
        <v>0</v>
      </c>
      <c r="C28" s="13"/>
      <c r="D28" s="13"/>
      <c r="E28" s="13"/>
      <c r="F28" s="13"/>
      <c r="G28" s="13"/>
      <c r="H28" s="13"/>
      <c r="I28" s="13"/>
      <c r="J28" s="13"/>
      <c r="K28" s="13"/>
    </row>
    <row r="29" spans="1:11" ht="15.75" thickBot="1">
      <c r="A29" s="13"/>
      <c r="B29" s="13"/>
      <c r="C29" s="13"/>
      <c r="D29" s="13"/>
      <c r="E29" s="13"/>
      <c r="F29" s="13"/>
      <c r="G29" s="13"/>
      <c r="H29" s="13"/>
      <c r="I29" s="13"/>
      <c r="J29" s="13"/>
      <c r="K29" s="13"/>
    </row>
    <row r="30" spans="1:11" ht="18.75" thickBot="1">
      <c r="A30" s="181" t="s">
        <v>291</v>
      </c>
      <c r="B30" s="13"/>
      <c r="C30" s="13"/>
      <c r="D30" s="13"/>
      <c r="E30" s="13"/>
      <c r="F30" s="13"/>
      <c r="G30" s="13"/>
      <c r="H30" s="13"/>
      <c r="I30" s="13"/>
      <c r="J30" s="13"/>
      <c r="K30" s="13"/>
    </row>
    <row r="31" spans="1:11">
      <c r="A31" s="13"/>
      <c r="B31" s="13"/>
      <c r="C31" s="13"/>
      <c r="D31" s="13"/>
      <c r="E31" s="13"/>
      <c r="F31" s="13"/>
      <c r="G31" s="13"/>
      <c r="H31" s="13"/>
      <c r="I31" s="13"/>
      <c r="J31" s="13"/>
      <c r="K31" s="13"/>
    </row>
    <row r="32" spans="1:11">
      <c r="A32" s="13"/>
      <c r="B32" s="13"/>
      <c r="C32" s="13"/>
      <c r="D32" s="13"/>
      <c r="E32" s="13"/>
      <c r="F32" s="13"/>
      <c r="G32" s="13"/>
      <c r="H32" s="13"/>
      <c r="I32" s="13"/>
      <c r="J32" s="13"/>
      <c r="K32" s="13"/>
    </row>
    <row r="33" spans="1:11" ht="23.25">
      <c r="A33" s="356">
        <v>1.66E-2</v>
      </c>
      <c r="B33" s="32" t="s">
        <v>512</v>
      </c>
      <c r="C33" s="13"/>
      <c r="E33" s="222" t="s">
        <v>0</v>
      </c>
      <c r="F33" s="13"/>
      <c r="G33" s="13"/>
      <c r="H33" s="13"/>
      <c r="I33" s="13"/>
      <c r="J33" s="13"/>
      <c r="K33" s="13"/>
    </row>
    <row r="34" spans="1:11" ht="23.25">
      <c r="A34" s="238"/>
      <c r="B34" s="13" t="s">
        <v>343</v>
      </c>
      <c r="C34" s="13"/>
      <c r="D34" s="13"/>
      <c r="E34" s="13"/>
      <c r="F34" s="13"/>
      <c r="G34" s="13"/>
      <c r="H34" s="13"/>
      <c r="I34" s="13"/>
      <c r="J34" s="13"/>
      <c r="K34" s="13"/>
    </row>
    <row r="35" spans="1:11" ht="23.25">
      <c r="A35" s="238"/>
      <c r="B35" s="164" t="s">
        <v>342</v>
      </c>
      <c r="C35" s="13"/>
      <c r="D35" s="13"/>
      <c r="E35" s="13"/>
      <c r="F35" s="13"/>
      <c r="G35" s="13"/>
      <c r="H35" s="13"/>
      <c r="I35" s="13"/>
      <c r="J35" s="13"/>
      <c r="K35" s="13"/>
    </row>
    <row r="36" spans="1:11" ht="23.25">
      <c r="A36" s="356">
        <v>1.7999999999999999E-2</v>
      </c>
      <c r="B36" s="32" t="s">
        <v>292</v>
      </c>
      <c r="C36" s="13"/>
      <c r="D36" s="13"/>
      <c r="E36" s="13"/>
      <c r="F36" s="13"/>
      <c r="G36" s="13"/>
      <c r="H36" s="13"/>
      <c r="I36" s="13"/>
      <c r="J36" s="13"/>
      <c r="K36" s="13"/>
    </row>
    <row r="37" spans="1:11" ht="23.25">
      <c r="A37" s="237"/>
      <c r="B37" s="239" t="s">
        <v>513</v>
      </c>
      <c r="C37" s="13"/>
      <c r="D37" s="13"/>
      <c r="E37" s="13"/>
      <c r="F37" s="13"/>
      <c r="G37" s="13"/>
      <c r="H37" s="13"/>
      <c r="I37" s="13"/>
      <c r="J37" s="13"/>
      <c r="K37" s="13"/>
    </row>
    <row r="38" spans="1:11" ht="23.25">
      <c r="A38" s="237"/>
      <c r="B38" s="164" t="s">
        <v>514</v>
      </c>
      <c r="C38" s="13"/>
      <c r="D38" s="13"/>
      <c r="E38" s="13"/>
      <c r="F38" s="13"/>
      <c r="G38" s="13"/>
      <c r="H38" s="13"/>
      <c r="I38" s="13"/>
      <c r="J38" s="13"/>
      <c r="K38" s="13"/>
    </row>
    <row r="39" spans="1:11" ht="23.25">
      <c r="A39" s="356" t="s">
        <v>450</v>
      </c>
      <c r="B39" s="32" t="s">
        <v>293</v>
      </c>
      <c r="C39" s="13"/>
      <c r="D39" s="13"/>
      <c r="E39" s="13"/>
      <c r="F39" s="13"/>
      <c r="G39" s="13"/>
      <c r="H39" s="13"/>
      <c r="I39" s="13"/>
      <c r="J39" s="13"/>
      <c r="K39" s="13"/>
    </row>
    <row r="40" spans="1:11" ht="23.25">
      <c r="A40" s="237"/>
      <c r="B40" s="13" t="s">
        <v>515</v>
      </c>
      <c r="C40" s="13"/>
      <c r="D40" s="13"/>
      <c r="E40" s="13"/>
      <c r="F40" s="13"/>
      <c r="G40" s="13"/>
      <c r="H40" s="13"/>
      <c r="I40" s="13"/>
      <c r="J40" s="13"/>
      <c r="K40" s="13"/>
    </row>
    <row r="41" spans="1:11" ht="23.25">
      <c r="A41" s="237"/>
      <c r="B41" s="164" t="s">
        <v>361</v>
      </c>
      <c r="C41" s="13"/>
      <c r="D41" s="13"/>
      <c r="E41" s="13"/>
      <c r="F41" s="13"/>
      <c r="G41" s="13"/>
      <c r="H41" s="13"/>
      <c r="I41" s="13"/>
      <c r="J41" s="13"/>
      <c r="K41" s="13"/>
    </row>
    <row r="42" spans="1:11" ht="23.25">
      <c r="A42" s="436">
        <v>1.9E-2</v>
      </c>
      <c r="B42" s="32" t="s">
        <v>516</v>
      </c>
      <c r="C42" s="13"/>
      <c r="D42" s="13"/>
      <c r="E42" s="13"/>
      <c r="F42" s="13"/>
      <c r="G42" s="13"/>
      <c r="H42" s="13"/>
      <c r="I42" s="13"/>
      <c r="J42" s="13"/>
      <c r="K42" s="13"/>
    </row>
    <row r="43" spans="1:11" ht="23.25">
      <c r="A43" s="237"/>
      <c r="B43" s="13" t="s">
        <v>517</v>
      </c>
      <c r="C43" s="13"/>
      <c r="D43" s="13"/>
      <c r="E43" s="13"/>
      <c r="F43" s="13"/>
      <c r="G43" s="13"/>
      <c r="H43" s="13"/>
      <c r="I43" s="13"/>
      <c r="J43" s="13"/>
      <c r="K43" s="13"/>
    </row>
    <row r="44" spans="1:11" ht="23.25">
      <c r="A44" s="237"/>
      <c r="B44" s="164" t="s">
        <v>360</v>
      </c>
      <c r="C44" s="13"/>
      <c r="D44" s="13"/>
      <c r="E44" s="13"/>
      <c r="F44" s="13"/>
      <c r="G44" s="13"/>
      <c r="H44" s="13"/>
      <c r="I44" s="13"/>
      <c r="J44" s="13"/>
      <c r="K44" s="13"/>
    </row>
    <row r="45" spans="1:11" ht="23.25">
      <c r="A45" s="356">
        <v>1.4999999999999999E-2</v>
      </c>
      <c r="B45" s="32" t="s">
        <v>294</v>
      </c>
      <c r="C45" s="13"/>
      <c r="D45" s="13"/>
      <c r="E45" s="13"/>
      <c r="F45" s="13"/>
      <c r="G45" s="13"/>
      <c r="H45" s="13"/>
      <c r="I45" s="13"/>
      <c r="J45" s="13"/>
      <c r="K45" s="13"/>
    </row>
    <row r="46" spans="1:11" ht="23.25">
      <c r="A46" s="237"/>
      <c r="B46" s="13" t="s">
        <v>518</v>
      </c>
      <c r="C46" s="13"/>
      <c r="D46" s="13"/>
      <c r="E46" s="13"/>
      <c r="F46" s="13"/>
      <c r="G46" s="13"/>
      <c r="H46" s="13"/>
      <c r="I46" s="13"/>
      <c r="J46" s="13"/>
      <c r="K46" s="13"/>
    </row>
    <row r="47" spans="1:11" ht="23.25">
      <c r="A47" s="237"/>
      <c r="B47" s="164" t="s">
        <v>519</v>
      </c>
      <c r="C47" s="13"/>
      <c r="D47" s="13"/>
      <c r="E47" s="13"/>
      <c r="F47" s="13"/>
      <c r="G47" s="13"/>
      <c r="H47" s="13"/>
      <c r="I47" s="13"/>
      <c r="J47" s="13"/>
      <c r="K47" s="13"/>
    </row>
    <row r="48" spans="1:11" ht="23.25">
      <c r="A48" s="237" t="s">
        <v>0</v>
      </c>
      <c r="C48" s="13"/>
      <c r="D48" s="13"/>
      <c r="E48" s="13"/>
      <c r="F48" s="13"/>
      <c r="G48" s="13"/>
      <c r="H48" s="13"/>
      <c r="I48" s="13"/>
      <c r="J48" s="13"/>
      <c r="K48" s="13"/>
    </row>
    <row r="49" spans="1:11" ht="18">
      <c r="A49" s="353" t="s">
        <v>308</v>
      </c>
      <c r="C49" s="13"/>
      <c r="D49" s="13"/>
      <c r="E49" s="13"/>
      <c r="F49" s="13"/>
      <c r="G49" s="13"/>
      <c r="H49" s="13"/>
      <c r="I49" s="13"/>
      <c r="J49" s="13"/>
      <c r="K49" s="13"/>
    </row>
    <row r="50" spans="1:11" ht="18">
      <c r="A50" s="32" t="s">
        <v>309</v>
      </c>
      <c r="B50" s="13"/>
      <c r="C50" s="13"/>
      <c r="D50" s="13"/>
      <c r="E50" s="13"/>
      <c r="H50" s="13"/>
      <c r="I50" s="13"/>
      <c r="J50" s="13"/>
      <c r="K50" s="13"/>
    </row>
    <row r="51" spans="1:11">
      <c r="A51" s="164" t="s">
        <v>310</v>
      </c>
      <c r="B51" s="13"/>
      <c r="C51" s="13"/>
      <c r="D51" s="13"/>
      <c r="E51" s="13"/>
      <c r="F51" s="13"/>
      <c r="G51" s="13"/>
      <c r="H51" s="13"/>
      <c r="I51" s="13"/>
      <c r="J51" s="13"/>
      <c r="K51" s="13"/>
    </row>
    <row r="52" spans="1:11">
      <c r="A52" s="164"/>
      <c r="B52" s="13"/>
      <c r="C52" s="13"/>
      <c r="D52" s="13"/>
      <c r="E52" s="13"/>
      <c r="F52" s="13"/>
      <c r="G52" s="13" t="s">
        <v>0</v>
      </c>
      <c r="H52" s="13" t="s">
        <v>0</v>
      </c>
      <c r="I52" s="13"/>
      <c r="J52" s="13"/>
      <c r="K52" s="13"/>
    </row>
    <row r="53" spans="1:11">
      <c r="A53" s="13"/>
      <c r="B53" s="13"/>
      <c r="C53" s="13"/>
      <c r="D53" s="13"/>
      <c r="E53" s="13"/>
      <c r="F53" s="13"/>
      <c r="G53" s="13" t="s">
        <v>0</v>
      </c>
      <c r="H53" s="13"/>
      <c r="I53" s="13"/>
      <c r="J53" s="13"/>
      <c r="K53" s="13"/>
    </row>
    <row r="54" spans="1:11" ht="15.75" thickBot="1">
      <c r="A54" s="13"/>
      <c r="B54" s="13"/>
      <c r="C54" s="13"/>
      <c r="D54" s="13"/>
      <c r="E54" s="13"/>
      <c r="F54" s="13"/>
      <c r="G54" s="13" t="s">
        <v>0</v>
      </c>
      <c r="H54" s="13"/>
      <c r="I54" s="13"/>
      <c r="J54" s="13"/>
      <c r="K54" s="13"/>
    </row>
    <row r="55" spans="1:11" ht="18.75" customHeight="1" thickBot="1">
      <c r="A55" s="181" t="s">
        <v>290</v>
      </c>
      <c r="B55" s="45" t="s">
        <v>435</v>
      </c>
      <c r="C55" s="13"/>
      <c r="D55" s="13"/>
      <c r="E55" s="13"/>
      <c r="F55" s="13"/>
      <c r="G55" s="13"/>
      <c r="H55" s="13"/>
      <c r="I55" s="13"/>
      <c r="J55" s="13"/>
      <c r="K55" s="13"/>
    </row>
    <row r="56" spans="1:11" ht="15" customHeight="1">
      <c r="A56" s="13"/>
      <c r="B56" s="13"/>
      <c r="C56" s="13"/>
      <c r="D56" s="13"/>
      <c r="E56" s="13"/>
      <c r="F56" s="13"/>
      <c r="G56" s="354" t="s">
        <v>436</v>
      </c>
      <c r="H56" s="355" t="s">
        <v>437</v>
      </c>
      <c r="I56" s="13"/>
      <c r="J56" s="13"/>
      <c r="K56" s="13"/>
    </row>
    <row r="57" spans="1:11" ht="23.25" customHeight="1">
      <c r="A57" s="356">
        <v>2.3E-2</v>
      </c>
      <c r="B57" s="32" t="s">
        <v>438</v>
      </c>
      <c r="C57" s="13"/>
      <c r="E57" s="13"/>
      <c r="G57" s="357" t="s">
        <v>439</v>
      </c>
      <c r="H57" s="358" t="s">
        <v>440</v>
      </c>
      <c r="I57" s="13"/>
      <c r="J57" s="13"/>
      <c r="K57" s="13"/>
    </row>
    <row r="58" spans="1:11" ht="23.25" customHeight="1">
      <c r="A58" s="356">
        <v>2.53E-2</v>
      </c>
      <c r="B58" s="32" t="s">
        <v>441</v>
      </c>
      <c r="C58" s="13"/>
      <c r="E58" s="13"/>
      <c r="G58" s="357" t="s">
        <v>442</v>
      </c>
      <c r="H58" s="358" t="s">
        <v>443</v>
      </c>
      <c r="I58" s="13"/>
      <c r="J58" s="13"/>
      <c r="K58" s="13"/>
    </row>
    <row r="59" spans="1:11" ht="23.25" customHeight="1">
      <c r="A59" s="356">
        <v>2.3099999999999999E-2</v>
      </c>
      <c r="B59" s="32" t="s">
        <v>444</v>
      </c>
      <c r="C59" s="13"/>
      <c r="D59" s="13"/>
      <c r="E59" s="13"/>
      <c r="G59" s="359" t="s">
        <v>445</v>
      </c>
      <c r="H59" s="360" t="s">
        <v>446</v>
      </c>
      <c r="I59" s="13"/>
      <c r="J59" s="13"/>
      <c r="K59" s="13"/>
    </row>
    <row r="60" spans="1:11" ht="23.25" customHeight="1">
      <c r="A60" s="356"/>
      <c r="B60" s="32"/>
      <c r="C60" s="13"/>
      <c r="D60" s="13"/>
      <c r="E60" s="13"/>
      <c r="G60" s="15"/>
      <c r="H60" s="165"/>
      <c r="I60" s="13"/>
      <c r="J60" s="13"/>
      <c r="K60" s="13"/>
    </row>
    <row r="61" spans="1:11" ht="23.25" customHeight="1">
      <c r="A61" s="361" t="s">
        <v>520</v>
      </c>
      <c r="B61" s="32"/>
      <c r="C61" s="13"/>
      <c r="D61" s="13"/>
      <c r="E61" s="13"/>
      <c r="F61" s="349"/>
      <c r="G61" s="89"/>
      <c r="H61" s="13"/>
      <c r="I61" s="13"/>
      <c r="J61" s="13"/>
      <c r="K61" s="13"/>
    </row>
    <row r="62" spans="1:11" ht="23.25" customHeight="1">
      <c r="A62" s="356"/>
      <c r="B62" s="32"/>
      <c r="C62" s="13"/>
      <c r="D62" s="13"/>
      <c r="E62" s="13"/>
      <c r="F62" s="349"/>
      <c r="G62" s="89"/>
      <c r="H62" s="13"/>
      <c r="I62" s="13"/>
      <c r="J62" s="13"/>
      <c r="K62" s="13"/>
    </row>
    <row r="63" spans="1:11" ht="23.25" customHeight="1">
      <c r="A63" s="356">
        <v>2.5499999999999998E-2</v>
      </c>
      <c r="B63" s="32" t="s">
        <v>300</v>
      </c>
      <c r="C63" s="13"/>
      <c r="D63" s="13"/>
      <c r="E63" s="13"/>
      <c r="F63" s="13"/>
      <c r="G63" s="13"/>
      <c r="H63" s="13"/>
      <c r="I63" s="13"/>
      <c r="J63" s="13"/>
      <c r="K63" s="13"/>
    </row>
    <row r="64" spans="1:11" ht="23.25" customHeight="1">
      <c r="A64" s="356">
        <v>2.5000000000000001E-2</v>
      </c>
      <c r="B64" s="32" t="s">
        <v>301</v>
      </c>
      <c r="C64" s="13"/>
      <c r="D64" s="13"/>
      <c r="E64" s="13"/>
      <c r="F64" s="13"/>
      <c r="G64" s="13"/>
      <c r="H64" s="13"/>
      <c r="I64" s="13"/>
      <c r="J64" s="13"/>
      <c r="K64" s="13"/>
    </row>
    <row r="65" spans="1:11" ht="23.25" customHeight="1">
      <c r="A65" s="356">
        <v>2.4400000000000002E-2</v>
      </c>
      <c r="B65" s="32" t="s">
        <v>302</v>
      </c>
      <c r="C65" s="13"/>
      <c r="D65" s="13"/>
      <c r="E65" s="13"/>
      <c r="F65" s="13"/>
      <c r="G65" s="13"/>
      <c r="H65" s="13"/>
      <c r="I65" s="13"/>
      <c r="J65" s="13"/>
      <c r="K65" s="13"/>
    </row>
    <row r="66" spans="1:11" ht="24" customHeight="1">
      <c r="A66" s="356">
        <v>2.3E-2</v>
      </c>
      <c r="B66" s="32" t="s">
        <v>521</v>
      </c>
      <c r="C66" s="13"/>
      <c r="D66" s="13"/>
      <c r="E66" s="13"/>
      <c r="F66" s="13"/>
      <c r="G66" s="13"/>
      <c r="H66" s="13"/>
      <c r="I66" s="13"/>
      <c r="J66" s="13"/>
      <c r="K66" s="13"/>
    </row>
    <row r="67" spans="1:11" ht="27.75" customHeight="1">
      <c r="A67" s="356">
        <v>0.02</v>
      </c>
      <c r="B67" s="32" t="s">
        <v>297</v>
      </c>
      <c r="C67" s="13"/>
      <c r="D67" s="13"/>
      <c r="E67" s="13"/>
      <c r="F67" s="13"/>
      <c r="G67" s="13"/>
      <c r="H67" s="13"/>
      <c r="I67" s="13"/>
      <c r="J67" s="13"/>
      <c r="K67" s="13"/>
    </row>
    <row r="68" spans="1:11" ht="27" customHeight="1">
      <c r="B68" s="13" t="s">
        <v>0</v>
      </c>
      <c r="C68" s="13"/>
      <c r="D68" s="13"/>
      <c r="E68" s="13"/>
      <c r="F68" s="13"/>
      <c r="G68" s="13"/>
      <c r="H68" s="13"/>
      <c r="I68" s="13"/>
      <c r="J68" s="13"/>
      <c r="K68" s="13"/>
    </row>
    <row r="69" spans="1:11" ht="20.25" customHeight="1">
      <c r="A69" s="13"/>
      <c r="B69" s="13"/>
      <c r="C69" s="13"/>
      <c r="D69" s="13"/>
      <c r="E69" s="13"/>
      <c r="F69" s="13"/>
      <c r="G69" s="13"/>
      <c r="H69" s="13"/>
      <c r="I69" s="13"/>
      <c r="J69" s="13"/>
      <c r="K69" s="13"/>
    </row>
    <row r="70" spans="1:11" ht="18.75" customHeight="1" thickBot="1">
      <c r="B70" s="13"/>
      <c r="C70" s="13"/>
      <c r="D70" s="30"/>
      <c r="E70" s="30"/>
      <c r="F70" s="30"/>
      <c r="G70" s="13"/>
      <c r="H70" s="13"/>
      <c r="I70" s="13"/>
      <c r="J70" s="13"/>
      <c r="K70" s="13"/>
    </row>
    <row r="71" spans="1:11" ht="18.75" customHeight="1">
      <c r="B71" s="32"/>
      <c r="C71" s="32"/>
      <c r="D71" s="13"/>
      <c r="E71" s="33" t="s">
        <v>251</v>
      </c>
      <c r="F71" s="13"/>
      <c r="G71" s="13"/>
      <c r="H71" s="13"/>
      <c r="I71" s="13"/>
      <c r="J71" s="13"/>
      <c r="K71" s="13"/>
    </row>
    <row r="72" spans="1:11" ht="15" customHeight="1" thickBot="1">
      <c r="A72" s="167"/>
      <c r="B72" s="32"/>
      <c r="C72" s="32"/>
      <c r="D72" s="30"/>
      <c r="E72" s="38" t="s">
        <v>111</v>
      </c>
      <c r="F72" s="30"/>
      <c r="G72" s="13"/>
      <c r="H72" s="13"/>
      <c r="I72" s="13"/>
      <c r="J72" s="13"/>
      <c r="K72" s="13"/>
    </row>
    <row r="73" spans="1:11" ht="21" customHeight="1" thickBot="1">
      <c r="A73" s="166" t="s">
        <v>252</v>
      </c>
      <c r="B73" s="32"/>
      <c r="C73" s="32"/>
      <c r="D73" s="36"/>
      <c r="E73" s="163"/>
      <c r="F73" s="13"/>
      <c r="G73" s="13"/>
      <c r="H73" s="13"/>
      <c r="I73" s="13"/>
      <c r="J73" s="13"/>
      <c r="K73" s="13"/>
    </row>
    <row r="74" spans="1:11" ht="15" customHeight="1">
      <c r="A74" s="40" t="s">
        <v>0</v>
      </c>
      <c r="B74" s="40"/>
      <c r="C74" s="40"/>
      <c r="D74" s="42" t="s">
        <v>0</v>
      </c>
      <c r="E74" s="42" t="s">
        <v>0</v>
      </c>
      <c r="F74" s="42" t="s">
        <v>0</v>
      </c>
      <c r="G74" s="42"/>
      <c r="H74" s="13"/>
      <c r="I74" s="13"/>
    </row>
    <row r="75" spans="1:11">
      <c r="A75" s="36" t="s">
        <v>0</v>
      </c>
      <c r="B75" s="36"/>
      <c r="C75" s="36"/>
      <c r="D75" s="200" t="s">
        <v>115</v>
      </c>
      <c r="E75" s="200" t="s">
        <v>296</v>
      </c>
      <c r="F75" s="200" t="s">
        <v>164</v>
      </c>
      <c r="G75" s="282"/>
      <c r="H75" s="13"/>
      <c r="I75" s="13"/>
    </row>
    <row r="76" spans="1:11">
      <c r="A76" s="138" t="s">
        <v>162</v>
      </c>
      <c r="B76" s="138"/>
      <c r="C76" s="138"/>
      <c r="D76" s="201" t="s">
        <v>117</v>
      </c>
      <c r="E76" s="201" t="s">
        <v>163</v>
      </c>
      <c r="F76" s="201" t="s">
        <v>165</v>
      </c>
      <c r="G76" s="282"/>
      <c r="H76" s="13"/>
      <c r="I76" s="13"/>
    </row>
    <row r="77" spans="1:11" ht="15.75" customHeight="1"/>
    <row r="78" spans="1:11" ht="15.75" customHeight="1"/>
    <row r="79" spans="1:11" ht="15.75" customHeight="1">
      <c r="A79" s="184" t="s">
        <v>303</v>
      </c>
      <c r="B79" s="185"/>
      <c r="C79" s="231"/>
      <c r="D79" s="193">
        <f>+A57</f>
        <v>2.3E-2</v>
      </c>
      <c r="E79" s="193">
        <v>1.5800000000000002E-2</v>
      </c>
      <c r="F79" s="186">
        <f t="shared" ref="F79:F86" si="1">+D79+E79</f>
        <v>3.8800000000000001E-2</v>
      </c>
      <c r="G79" s="283"/>
      <c r="H79" s="13"/>
      <c r="I79" s="13"/>
    </row>
    <row r="80" spans="1:11" ht="15.75" customHeight="1">
      <c r="A80" s="187" t="s">
        <v>304</v>
      </c>
      <c r="B80" s="65"/>
      <c r="C80" s="232"/>
      <c r="D80" s="362">
        <f>+A58</f>
        <v>2.53E-2</v>
      </c>
      <c r="E80" s="362">
        <v>1.61E-2</v>
      </c>
      <c r="F80" s="188">
        <f t="shared" si="1"/>
        <v>4.1399999999999999E-2</v>
      </c>
      <c r="G80" s="283"/>
      <c r="H80" s="13"/>
      <c r="I80" s="13"/>
    </row>
    <row r="81" spans="1:9" ht="15.75" customHeight="1">
      <c r="A81" s="189" t="s">
        <v>305</v>
      </c>
      <c r="B81" s="190"/>
      <c r="C81" s="233"/>
      <c r="D81" s="194">
        <f>+A59</f>
        <v>2.3099999999999999E-2</v>
      </c>
      <c r="E81" s="194">
        <v>1.66E-2</v>
      </c>
      <c r="F81" s="191">
        <f t="shared" si="1"/>
        <v>3.9699999999999999E-2</v>
      </c>
      <c r="G81" s="283"/>
      <c r="H81" s="13"/>
      <c r="I81" s="13"/>
    </row>
    <row r="82" spans="1:9" ht="15.75" customHeight="1">
      <c r="A82" s="187" t="s">
        <v>306</v>
      </c>
      <c r="B82" s="65"/>
      <c r="C82" s="232"/>
      <c r="D82" s="362">
        <f t="shared" ref="D82:D84" si="2">+A63</f>
        <v>2.5499999999999998E-2</v>
      </c>
      <c r="E82" s="362">
        <v>1.9699999999999999E-2</v>
      </c>
      <c r="F82" s="188">
        <f t="shared" si="1"/>
        <v>4.5199999999999997E-2</v>
      </c>
      <c r="G82" s="283"/>
      <c r="H82" s="13"/>
      <c r="I82" s="13"/>
    </row>
    <row r="83" spans="1:9" ht="15.75" customHeight="1">
      <c r="A83" s="187" t="s">
        <v>307</v>
      </c>
      <c r="B83" s="65"/>
      <c r="C83" s="232"/>
      <c r="D83" s="362">
        <f t="shared" si="2"/>
        <v>2.5000000000000001E-2</v>
      </c>
      <c r="E83" s="362">
        <v>1.9300000000000001E-2</v>
      </c>
      <c r="F83" s="188">
        <f t="shared" si="1"/>
        <v>4.4300000000000006E-2</v>
      </c>
      <c r="G83" s="283"/>
      <c r="H83" s="13"/>
      <c r="I83" s="13"/>
    </row>
    <row r="84" spans="1:9" ht="15.75" customHeight="1">
      <c r="A84" s="187" t="s">
        <v>522</v>
      </c>
      <c r="B84" s="65"/>
      <c r="C84" s="232"/>
      <c r="D84" s="362">
        <f t="shared" si="2"/>
        <v>2.4400000000000002E-2</v>
      </c>
      <c r="E84" s="362">
        <v>1.9599999999999999E-2</v>
      </c>
      <c r="F84" s="188">
        <f t="shared" si="1"/>
        <v>4.3999999999999997E-2</v>
      </c>
      <c r="G84" s="283"/>
      <c r="H84" s="13"/>
      <c r="I84" s="13"/>
    </row>
    <row r="85" spans="1:9" ht="15.75" customHeight="1">
      <c r="A85" s="187" t="s">
        <v>523</v>
      </c>
      <c r="B85" s="65"/>
      <c r="C85" s="232"/>
      <c r="D85" s="362">
        <f>+A66</f>
        <v>2.3E-2</v>
      </c>
      <c r="E85" s="362">
        <v>1.7999999999999999E-2</v>
      </c>
      <c r="F85" s="188">
        <f t="shared" si="1"/>
        <v>4.0999999999999995E-2</v>
      </c>
      <c r="G85" s="283"/>
      <c r="H85" s="13"/>
      <c r="I85" s="13"/>
    </row>
    <row r="86" spans="1:9" ht="15.75" customHeight="1">
      <c r="A86" s="189" t="s">
        <v>298</v>
      </c>
      <c r="B86" s="190"/>
      <c r="C86" s="233"/>
      <c r="D86" s="194">
        <f>+A67</f>
        <v>0.02</v>
      </c>
      <c r="E86" s="194">
        <v>1.7000000000000001E-2</v>
      </c>
      <c r="F86" s="191">
        <f t="shared" si="1"/>
        <v>3.7000000000000005E-2</v>
      </c>
      <c r="G86" s="283"/>
      <c r="H86" s="13"/>
      <c r="I86" s="13"/>
    </row>
    <row r="87" spans="1:9" ht="15.75" customHeight="1">
      <c r="A87" s="115"/>
      <c r="B87" s="132"/>
      <c r="C87" s="132" t="s">
        <v>65</v>
      </c>
      <c r="D87" s="192">
        <v>2.5499999999999998E-2</v>
      </c>
      <c r="E87" s="192">
        <v>1.9699999999999999E-2</v>
      </c>
      <c r="F87" s="192">
        <v>4.5199999999999997E-2</v>
      </c>
      <c r="G87" s="284"/>
      <c r="H87" s="13"/>
      <c r="I87" s="13"/>
    </row>
    <row r="88" spans="1:9" ht="15.75" customHeight="1">
      <c r="A88" s="115"/>
      <c r="B88" s="132"/>
      <c r="C88" s="132" t="s">
        <v>66</v>
      </c>
      <c r="D88" s="192">
        <v>0.02</v>
      </c>
      <c r="E88" s="192">
        <v>1.5800000000000002E-2</v>
      </c>
      <c r="F88" s="244">
        <v>3.6999999999999998E-2</v>
      </c>
      <c r="G88" s="284"/>
      <c r="H88" s="13"/>
      <c r="I88" s="13"/>
    </row>
    <row r="89" spans="1:9" ht="17.25" customHeight="1">
      <c r="A89" s="115"/>
      <c r="B89" s="132"/>
      <c r="C89" s="132" t="s">
        <v>18</v>
      </c>
      <c r="D89" s="437">
        <f>MEDIAN(D79:D86)</f>
        <v>2.375E-2</v>
      </c>
      <c r="E89" s="437">
        <f>MEDIAN(E79:E86)</f>
        <v>1.7500000000000002E-2</v>
      </c>
      <c r="F89" s="188">
        <f t="shared" ref="F89:F90" si="3">+D89+E89</f>
        <v>4.1250000000000002E-2</v>
      </c>
      <c r="G89" s="283"/>
      <c r="H89" s="13"/>
      <c r="I89" s="13"/>
    </row>
    <row r="90" spans="1:9" ht="21" customHeight="1">
      <c r="A90" s="115"/>
      <c r="B90" s="132"/>
      <c r="C90" s="132" t="s">
        <v>19</v>
      </c>
      <c r="D90" s="363">
        <f>AVERAGE(D79:D86)</f>
        <v>2.3662499999999996E-2</v>
      </c>
      <c r="E90" s="363">
        <f>AVERAGE(E79:E86)</f>
        <v>1.7762500000000001E-2</v>
      </c>
      <c r="F90" s="191">
        <f t="shared" si="3"/>
        <v>4.1424999999999997E-2</v>
      </c>
      <c r="G90" s="283"/>
      <c r="H90" s="13"/>
      <c r="I90" s="13"/>
    </row>
    <row r="91" spans="1:9" ht="21" customHeight="1">
      <c r="A91" s="13"/>
      <c r="B91" s="15"/>
    </row>
    <row r="92" spans="1:9" ht="21" customHeight="1" thickBot="1">
      <c r="A92" s="13"/>
      <c r="B92" s="15"/>
    </row>
    <row r="93" spans="1:9" ht="24" customHeight="1" thickBot="1">
      <c r="A93" s="13"/>
      <c r="B93" s="139"/>
      <c r="C93" s="51" t="s">
        <v>254</v>
      </c>
      <c r="D93" s="364">
        <v>2.366E-2</v>
      </c>
      <c r="E93" s="364">
        <v>1.7760000000000001E-2</v>
      </c>
      <c r="F93" s="367">
        <f>+D93+E93</f>
        <v>4.1419999999999998E-2</v>
      </c>
    </row>
    <row r="94" spans="1:9" ht="22.5" customHeight="1">
      <c r="A94" s="13"/>
      <c r="B94" s="13"/>
      <c r="C94" s="13"/>
      <c r="D94" s="13"/>
      <c r="E94" s="13"/>
      <c r="F94" s="13"/>
      <c r="G94" s="13"/>
      <c r="I94" s="13"/>
    </row>
    <row r="95" spans="1:9" ht="15" customHeight="1">
      <c r="A95" s="13"/>
      <c r="B95" s="13"/>
      <c r="C95" s="13"/>
      <c r="D95" s="13"/>
      <c r="E95" s="13"/>
      <c r="F95" s="13"/>
      <c r="G95" s="13"/>
      <c r="I95" s="13" t="s">
        <v>0</v>
      </c>
    </row>
    <row r="96" spans="1:9" ht="16.5" customHeight="1">
      <c r="A96" s="13"/>
      <c r="B96" s="13"/>
      <c r="C96" s="13"/>
      <c r="D96" s="13"/>
      <c r="E96" s="13"/>
      <c r="F96" s="13"/>
      <c r="G96" s="13"/>
      <c r="H96" s="13"/>
      <c r="I96" s="13"/>
    </row>
    <row r="97" spans="1:9" ht="15" customHeight="1">
      <c r="A97" s="140" t="s">
        <v>185</v>
      </c>
      <c r="B97" s="141"/>
      <c r="C97" s="141"/>
      <c r="D97" s="141"/>
      <c r="E97" s="142"/>
      <c r="F97" s="141"/>
      <c r="G97" s="141"/>
      <c r="H97" s="141"/>
      <c r="I97" s="13"/>
    </row>
    <row r="98" spans="1:9" ht="15" customHeight="1">
      <c r="A98" s="454" t="s">
        <v>433</v>
      </c>
      <c r="B98" s="454"/>
      <c r="C98" s="454"/>
      <c r="D98" s="454"/>
      <c r="E98" s="454"/>
      <c r="F98" s="454"/>
      <c r="G98" s="454"/>
      <c r="H98" s="454"/>
      <c r="I98" s="13"/>
    </row>
    <row r="99" spans="1:9" ht="15" customHeight="1">
      <c r="A99" s="164" t="s">
        <v>434</v>
      </c>
      <c r="B99" s="141"/>
      <c r="C99" s="164" t="s">
        <v>0</v>
      </c>
      <c r="D99" s="141"/>
      <c r="E99" s="142"/>
      <c r="F99" s="141"/>
      <c r="G99" s="141"/>
      <c r="H99" s="141"/>
      <c r="I99" s="13"/>
    </row>
    <row r="100" spans="1:9" ht="15" customHeight="1">
      <c r="A100" s="140"/>
      <c r="B100" s="141"/>
      <c r="C100" s="141"/>
      <c r="D100" s="141"/>
      <c r="E100" s="142"/>
      <c r="F100" s="141"/>
      <c r="G100" s="141"/>
      <c r="H100" s="141"/>
      <c r="I100" s="13"/>
    </row>
    <row r="101" spans="1:9" ht="15" customHeight="1">
      <c r="A101" s="454" t="s">
        <v>432</v>
      </c>
      <c r="B101" s="454"/>
      <c r="C101" s="454"/>
      <c r="D101" s="454"/>
      <c r="E101" s="454"/>
      <c r="F101" s="454"/>
      <c r="G101" s="454"/>
      <c r="H101" s="454"/>
      <c r="I101" s="13"/>
    </row>
    <row r="102" spans="1:9" ht="15" customHeight="1">
      <c r="A102" s="143" t="s">
        <v>186</v>
      </c>
      <c r="B102" s="144"/>
      <c r="C102" s="144" t="s">
        <v>0</v>
      </c>
      <c r="D102" s="144"/>
      <c r="E102" s="144"/>
      <c r="F102" s="144"/>
      <c r="G102" s="144"/>
      <c r="H102" s="141"/>
      <c r="I102" s="13"/>
    </row>
    <row r="103" spans="1:9" ht="15" customHeight="1">
      <c r="A103" s="143"/>
      <c r="B103" s="144"/>
      <c r="C103" s="144"/>
      <c r="D103" s="144"/>
      <c r="E103" s="144"/>
      <c r="F103" s="144"/>
      <c r="G103" s="144"/>
      <c r="H103" s="141"/>
      <c r="I103" s="13"/>
    </row>
    <row r="104" spans="1:9" ht="15" customHeight="1">
      <c r="A104" s="454" t="s">
        <v>253</v>
      </c>
      <c r="B104" s="454"/>
      <c r="C104" s="454"/>
      <c r="D104" s="454"/>
      <c r="E104" s="454"/>
      <c r="F104" s="454"/>
      <c r="G104" s="454"/>
      <c r="H104" s="454"/>
      <c r="I104" s="13"/>
    </row>
    <row r="105" spans="1:9" ht="15" customHeight="1">
      <c r="A105" s="143" t="s">
        <v>186</v>
      </c>
      <c r="B105" s="144"/>
      <c r="C105" s="144" t="s">
        <v>0</v>
      </c>
      <c r="D105" s="144"/>
      <c r="E105" s="144"/>
      <c r="F105" s="144"/>
      <c r="G105" s="144"/>
      <c r="H105" s="141"/>
      <c r="I105" s="13"/>
    </row>
    <row r="106" spans="1:9" ht="15" customHeight="1">
      <c r="A106" s="143"/>
      <c r="B106" s="144"/>
      <c r="C106" s="144"/>
      <c r="D106" s="144"/>
      <c r="E106" s="144"/>
      <c r="F106" s="144"/>
      <c r="G106" s="144"/>
      <c r="H106" s="141"/>
      <c r="I106" s="13"/>
    </row>
    <row r="107" spans="1:9" ht="15" customHeight="1">
      <c r="A107" s="454" t="s">
        <v>447</v>
      </c>
      <c r="B107" s="454"/>
      <c r="C107" s="454"/>
      <c r="D107" s="454"/>
      <c r="E107" s="454"/>
      <c r="F107" s="454"/>
      <c r="G107" s="454"/>
      <c r="H107" s="454"/>
      <c r="I107" s="13"/>
    </row>
    <row r="108" spans="1:9" ht="15" customHeight="1">
      <c r="A108" s="365" t="s">
        <v>187</v>
      </c>
      <c r="B108" s="144"/>
      <c r="C108" s="144"/>
      <c r="D108" s="144"/>
      <c r="E108" s="144"/>
      <c r="F108" s="144"/>
      <c r="G108" s="144"/>
      <c r="H108" s="141"/>
      <c r="I108" s="13"/>
    </row>
    <row r="109" spans="1:9" ht="15" customHeight="1">
      <c r="A109" s="164" t="s">
        <v>448</v>
      </c>
      <c r="B109" s="144"/>
      <c r="C109" s="144"/>
      <c r="D109" s="144"/>
      <c r="E109" s="144"/>
      <c r="F109" s="144"/>
      <c r="G109" s="144"/>
      <c r="H109" s="141"/>
      <c r="I109" s="13"/>
    </row>
    <row r="110" spans="1:9" ht="15" customHeight="1">
      <c r="A110" s="164"/>
      <c r="B110" s="144"/>
      <c r="C110" s="144"/>
      <c r="D110" s="144"/>
      <c r="E110" s="144"/>
      <c r="F110" s="144"/>
      <c r="G110" s="144"/>
      <c r="H110" s="141"/>
      <c r="I110" s="13"/>
    </row>
    <row r="111" spans="1:9" ht="15" customHeight="1">
      <c r="A111" s="146" t="s">
        <v>524</v>
      </c>
      <c r="B111" s="146"/>
      <c r="C111" s="146"/>
      <c r="D111" s="146"/>
      <c r="E111" s="146"/>
      <c r="F111" s="146"/>
      <c r="G111" s="146"/>
      <c r="H111" s="141"/>
      <c r="I111" s="13"/>
    </row>
    <row r="112" spans="1:9" ht="15" customHeight="1">
      <c r="A112" s="145" t="s">
        <v>188</v>
      </c>
      <c r="B112" s="144"/>
      <c r="C112" s="164" t="s">
        <v>525</v>
      </c>
      <c r="D112" s="144"/>
      <c r="E112" s="144"/>
      <c r="F112" s="144"/>
      <c r="G112" s="144"/>
      <c r="H112" s="141"/>
      <c r="I112" s="13"/>
    </row>
    <row r="113" spans="1:9">
      <c r="A113" s="145"/>
      <c r="B113" s="147"/>
      <c r="C113" s="147"/>
      <c r="D113" s="147"/>
      <c r="E113" s="147"/>
      <c r="F113" s="147"/>
      <c r="G113" s="147"/>
      <c r="H113" s="148"/>
      <c r="I113" s="13"/>
    </row>
    <row r="114" spans="1:9">
      <c r="A114" s="146" t="s">
        <v>299</v>
      </c>
    </row>
    <row r="115" spans="1:9">
      <c r="A115" s="366" t="s">
        <v>449</v>
      </c>
    </row>
    <row r="121" spans="1:9" ht="18">
      <c r="A121" s="258"/>
    </row>
    <row r="122" spans="1:9" ht="18">
      <c r="A122" s="258"/>
    </row>
    <row r="123" spans="1:9" ht="18">
      <c r="A123" s="258"/>
    </row>
    <row r="126" spans="1:9">
      <c r="A126" t="s">
        <v>0</v>
      </c>
    </row>
    <row r="130" spans="1:1">
      <c r="A130" t="s">
        <v>0</v>
      </c>
    </row>
    <row r="147" spans="1:1">
      <c r="A147" t="s">
        <v>0</v>
      </c>
    </row>
  </sheetData>
  <mergeCells count="4">
    <mergeCell ref="A107:H107"/>
    <mergeCell ref="A98:H98"/>
    <mergeCell ref="A101:H101"/>
    <mergeCell ref="A104:H104"/>
  </mergeCells>
  <hyperlinks>
    <hyperlink ref="A102" r:id="rId1" xr:uid="{000CB8B8-0735-409B-857F-F04974461E40}"/>
    <hyperlink ref="A112" r:id="rId2" location="4" display="https://www.cbo.gov/about/products/budget-economic-data - 4" xr:uid="{347B597D-134D-437E-9D86-0F047154D4C1}"/>
    <hyperlink ref="A108" r:id="rId3" xr:uid="{C97FBAEB-49D1-4250-909A-AA2E2C3C54A7}"/>
    <hyperlink ref="A105" r:id="rId4" xr:uid="{E54B641D-D8F2-4B68-8BCD-A15369D8F682}"/>
    <hyperlink ref="A51" r:id="rId5" xr:uid="{E230F42D-1124-43C1-8F5D-077788F54B1C}"/>
    <hyperlink ref="B35" r:id="rId6" xr:uid="{2476BC1B-75B6-4631-84F8-16130C9C9A36}"/>
    <hyperlink ref="B38" r:id="rId7" xr:uid="{7478E0E7-90E6-4945-ADD2-4B5260C62860}"/>
    <hyperlink ref="B44" r:id="rId8" xr:uid="{473FC4F8-4D5A-4B77-84B1-DBE6886EA857}"/>
    <hyperlink ref="B41" r:id="rId9" xr:uid="{61305ACA-8337-4A59-8507-8093A60631B2}"/>
    <hyperlink ref="B47" r:id="rId10" xr:uid="{94EE1468-4AC6-4D36-913E-E23DC36B6291}"/>
    <hyperlink ref="A99" r:id="rId11" xr:uid="{19EDE18A-A615-4976-9F02-6E97D51709A9}"/>
    <hyperlink ref="A115" r:id="rId12" xr:uid="{004C63B0-DA51-49C2-B13A-95ECCFE13E98}"/>
    <hyperlink ref="C99" r:id="rId13" display="https://www.federalreserve.gov/datadownload/Preview.aspx?pi=400&amp;rel=H15&amp;preview=%20H15/H15/RIFLGFCY05_N.WF" xr:uid="{3F53A119-50E9-4B1C-8918-0B8A8AD2B1FA}"/>
    <hyperlink ref="A109" r:id="rId14" display="https://www.philadelphiafed.org/-/media/frbp/assets/surveys-and-data/survey-of-professional-forecasters/2023/spfq123.pdf" xr:uid="{4171CEE9-54E0-40B8-AD29-F40D9686EA33}"/>
    <hyperlink ref="C112" r:id="rId15" xr:uid="{A1AFED30-B57F-4965-B473-7CD2DD23E8D0}"/>
  </hyperlinks>
  <pageMargins left="0.25" right="0.25" top="0.75" bottom="0.75" header="0.3" footer="0.3"/>
  <pageSetup scale="30"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E4C5F-277C-4B9C-9271-640BB89134E7}">
  <sheetPr>
    <tabColor rgb="FF92D050"/>
    <pageSetUpPr fitToPage="1"/>
  </sheetPr>
  <dimension ref="A1:I108"/>
  <sheetViews>
    <sheetView view="pageBreakPreview" topLeftCell="A25" zoomScale="70" zoomScaleNormal="80" zoomScaleSheetLayoutView="70" workbookViewId="0">
      <selection activeCell="D54" sqref="D54"/>
    </sheetView>
  </sheetViews>
  <sheetFormatPr defaultRowHeight="15"/>
  <cols>
    <col min="1" max="1" width="45.7109375" customWidth="1"/>
    <col min="2" max="2" width="22.7109375" customWidth="1"/>
    <col min="3" max="3" width="72.140625" customWidth="1"/>
    <col min="4" max="4" width="34.5703125" customWidth="1"/>
    <col min="5" max="5" width="21.7109375" customWidth="1"/>
    <col min="6" max="6" width="17"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5" t="s">
        <v>1</v>
      </c>
      <c r="B1" s="13"/>
      <c r="C1" s="13"/>
      <c r="D1" s="13"/>
      <c r="E1" s="13"/>
      <c r="F1" s="13"/>
      <c r="G1" s="13"/>
      <c r="H1" s="13"/>
      <c r="I1" s="13"/>
    </row>
    <row r="2" spans="1:9" ht="15.75">
      <c r="A2" s="65" t="s">
        <v>9</v>
      </c>
      <c r="B2" s="13"/>
      <c r="C2" s="13"/>
      <c r="D2" s="13"/>
      <c r="E2" s="13"/>
      <c r="F2" s="13"/>
      <c r="G2" s="13"/>
      <c r="H2" s="13"/>
      <c r="I2" s="13"/>
    </row>
    <row r="3" spans="1:9">
      <c r="A3" s="45" t="s">
        <v>97</v>
      </c>
      <c r="B3" s="13"/>
      <c r="C3" s="13"/>
      <c r="D3" s="13"/>
      <c r="E3" s="13"/>
      <c r="F3" s="13"/>
      <c r="G3" s="13"/>
      <c r="H3" s="13"/>
      <c r="I3" s="13"/>
    </row>
    <row r="4" spans="1:9">
      <c r="A4" s="13"/>
      <c r="B4" s="13"/>
      <c r="C4" s="13"/>
      <c r="D4" s="13"/>
      <c r="E4" s="13"/>
      <c r="F4" s="13"/>
      <c r="G4" s="13"/>
      <c r="H4" s="13"/>
      <c r="I4" s="13"/>
    </row>
    <row r="5" spans="1:9" ht="16.5" thickBot="1">
      <c r="A5" s="65"/>
      <c r="B5" s="13"/>
      <c r="C5" s="13"/>
      <c r="D5" s="13"/>
      <c r="E5" s="13"/>
      <c r="F5" s="13"/>
      <c r="G5" s="13"/>
      <c r="H5" s="13"/>
      <c r="I5" s="13"/>
    </row>
    <row r="6" spans="1:9" ht="18.75" thickBot="1">
      <c r="A6" s="287" t="str">
        <f>+'S&amp;D'!A12</f>
        <v>Electric Utilities</v>
      </c>
      <c r="B6" s="215"/>
      <c r="C6" s="13"/>
      <c r="D6" s="13"/>
      <c r="E6" s="13"/>
      <c r="F6" s="13"/>
      <c r="G6" s="13"/>
      <c r="H6" s="13"/>
      <c r="I6" s="13"/>
    </row>
    <row r="7" spans="1:9" ht="30.75" customHeight="1" thickBot="1">
      <c r="A7" s="65"/>
      <c r="B7" s="13"/>
      <c r="C7" s="30"/>
      <c r="E7" s="13"/>
      <c r="F7" s="13"/>
      <c r="G7" s="13"/>
      <c r="H7" s="13"/>
      <c r="I7" s="13"/>
    </row>
    <row r="8" spans="1:9" ht="20.25">
      <c r="B8" s="13"/>
      <c r="C8" s="33" t="s">
        <v>195</v>
      </c>
      <c r="E8" s="13"/>
      <c r="F8" s="13"/>
      <c r="G8" s="13"/>
      <c r="H8" s="13"/>
      <c r="I8" s="13"/>
    </row>
    <row r="9" spans="1:9" ht="18.75" thickBot="1">
      <c r="A9" s="32"/>
      <c r="B9" s="13"/>
      <c r="C9" s="34" t="s">
        <v>111</v>
      </c>
      <c r="E9" s="13"/>
      <c r="F9" s="13"/>
      <c r="G9" s="13"/>
      <c r="H9" s="13"/>
      <c r="I9" s="13"/>
    </row>
    <row r="10" spans="1:9" ht="18">
      <c r="A10" s="32"/>
      <c r="B10" s="13"/>
      <c r="C10" s="13"/>
      <c r="D10" s="13"/>
      <c r="E10" s="13"/>
      <c r="F10" s="13"/>
      <c r="G10" s="13"/>
      <c r="H10" s="13"/>
      <c r="I10" s="13"/>
    </row>
    <row r="11" spans="1:9" ht="27.75" customHeight="1" thickBot="1">
      <c r="A11" s="13"/>
      <c r="B11" s="13"/>
      <c r="C11" s="13"/>
      <c r="D11" s="13"/>
      <c r="E11" s="13"/>
      <c r="F11" s="13"/>
      <c r="G11" s="13"/>
      <c r="H11" s="13"/>
      <c r="I11" s="13"/>
    </row>
    <row r="12" spans="1:9">
      <c r="A12" s="13"/>
      <c r="B12" s="13"/>
      <c r="C12" s="81" t="s">
        <v>0</v>
      </c>
      <c r="D12" s="81" t="s">
        <v>229</v>
      </c>
      <c r="E12" s="13"/>
      <c r="F12" s="13"/>
      <c r="G12" s="13"/>
      <c r="H12" s="13"/>
      <c r="I12" s="13"/>
    </row>
    <row r="13" spans="1:9" ht="18.75" thickBot="1">
      <c r="A13" s="13"/>
      <c r="B13" s="13"/>
      <c r="C13" s="384" t="s">
        <v>194</v>
      </c>
      <c r="D13" s="83" t="s">
        <v>329</v>
      </c>
      <c r="E13" s="13"/>
      <c r="F13" s="13"/>
      <c r="G13" s="13"/>
      <c r="H13" s="13"/>
      <c r="I13" s="13"/>
    </row>
    <row r="14" spans="1:9" ht="15.75">
      <c r="A14" s="13"/>
      <c r="B14" s="13"/>
      <c r="C14" s="389" t="s">
        <v>461</v>
      </c>
      <c r="D14" s="390">
        <f>+CAPM!F16</f>
        <v>7.1840000000000001E-2</v>
      </c>
      <c r="E14" s="391"/>
      <c r="F14" s="13"/>
      <c r="G14" s="13"/>
      <c r="H14" s="13"/>
      <c r="I14" s="13"/>
    </row>
    <row r="15" spans="1:9" ht="15.75">
      <c r="A15" s="13"/>
      <c r="B15" s="13"/>
      <c r="C15" s="292" t="s">
        <v>462</v>
      </c>
      <c r="D15" s="392">
        <f>+CAPM!F17</f>
        <v>8.3449999999999996E-2</v>
      </c>
      <c r="E15" s="391"/>
      <c r="F15" s="13"/>
      <c r="G15" s="13"/>
      <c r="H15" s="13"/>
      <c r="I15" s="13"/>
    </row>
    <row r="16" spans="1:9" ht="15.75">
      <c r="A16" s="13"/>
      <c r="B16" s="13"/>
      <c r="C16" s="292" t="s">
        <v>487</v>
      </c>
      <c r="D16" s="392">
        <f>+CAPM!F19</f>
        <v>9.4879999999999992E-2</v>
      </c>
      <c r="E16" s="391"/>
      <c r="F16" s="13"/>
      <c r="G16" s="13"/>
      <c r="H16" s="13"/>
      <c r="I16" s="13"/>
    </row>
    <row r="17" spans="1:9" ht="15.75">
      <c r="A17" s="13"/>
      <c r="B17" s="13"/>
      <c r="C17" s="292" t="s">
        <v>509</v>
      </c>
      <c r="D17" s="392">
        <f>+CAPM!F20</f>
        <v>9.4070000000000001E-2</v>
      </c>
      <c r="E17" s="391"/>
      <c r="F17" s="13"/>
      <c r="G17" s="13"/>
      <c r="H17" s="13"/>
      <c r="I17" s="13"/>
    </row>
    <row r="18" spans="1:9" ht="15.75">
      <c r="A18" s="13"/>
      <c r="B18" s="13"/>
      <c r="C18" s="292" t="s">
        <v>485</v>
      </c>
      <c r="D18" s="392">
        <f>+CAPM!F21</f>
        <v>9.2540000000000011E-2</v>
      </c>
      <c r="E18" s="391"/>
      <c r="F18" s="13"/>
      <c r="G18" s="13"/>
      <c r="H18" s="13"/>
      <c r="I18" s="13"/>
    </row>
    <row r="19" spans="1:9" ht="15.75">
      <c r="A19" s="13"/>
      <c r="B19" s="13"/>
      <c r="C19" s="292" t="s">
        <v>486</v>
      </c>
      <c r="D19" s="392">
        <f>+CAPM!F22</f>
        <v>8.4889999999999993E-2</v>
      </c>
      <c r="E19" s="391"/>
      <c r="F19" s="13"/>
      <c r="G19" s="13"/>
      <c r="H19" s="13"/>
      <c r="I19" s="13"/>
    </row>
    <row r="20" spans="1:9" ht="15.75">
      <c r="A20" s="13"/>
      <c r="B20" s="13"/>
      <c r="C20" s="292" t="s">
        <v>196</v>
      </c>
      <c r="D20" s="392">
        <f>+CAPM!F24</f>
        <v>8.299999999999999E-2</v>
      </c>
      <c r="E20" s="391"/>
      <c r="F20" s="13"/>
      <c r="G20" s="13"/>
      <c r="H20" s="13"/>
      <c r="I20" s="13"/>
    </row>
    <row r="21" spans="1:9" ht="15.75">
      <c r="A21" s="13"/>
      <c r="B21" s="13"/>
      <c r="C21" s="292" t="s">
        <v>197</v>
      </c>
      <c r="D21" s="392">
        <f>+CAPM!F26</f>
        <v>9.1819999999999999E-2</v>
      </c>
      <c r="E21" s="391"/>
      <c r="F21" s="13"/>
      <c r="G21" s="13"/>
      <c r="H21" s="13"/>
      <c r="I21" s="13"/>
    </row>
    <row r="22" spans="1:9" ht="15.75">
      <c r="A22" s="13"/>
      <c r="B22" s="13"/>
      <c r="C22" s="416" t="s">
        <v>198</v>
      </c>
      <c r="D22" s="392">
        <f>+CAPM!F28</f>
        <v>9.7939999999999999E-2</v>
      </c>
      <c r="E22" s="391"/>
      <c r="F22" s="13"/>
      <c r="G22" s="13"/>
      <c r="H22" s="13"/>
      <c r="I22" s="13"/>
    </row>
    <row r="23" spans="1:9" ht="15.75">
      <c r="A23" s="13"/>
      <c r="B23" s="13"/>
      <c r="C23" s="416" t="s">
        <v>199</v>
      </c>
      <c r="D23" s="392">
        <f>+CAPM!F29</f>
        <v>8.6510000000000004E-2</v>
      </c>
      <c r="E23" s="442"/>
      <c r="G23" s="13"/>
      <c r="H23" s="13"/>
      <c r="I23" s="13"/>
    </row>
    <row r="24" spans="1:9" ht="15.75">
      <c r="A24" s="13"/>
      <c r="B24" s="13"/>
      <c r="C24" s="419" t="s">
        <v>497</v>
      </c>
      <c r="D24" s="414">
        <f>+CAPM!F31</f>
        <v>0.10595</v>
      </c>
      <c r="E24" s="393"/>
      <c r="F24" s="13"/>
      <c r="G24" s="13"/>
      <c r="H24" s="13"/>
      <c r="I24" s="13"/>
    </row>
    <row r="25" spans="1:9" ht="15.75">
      <c r="A25" s="13"/>
      <c r="B25" s="13"/>
      <c r="C25" s="419" t="s">
        <v>498</v>
      </c>
      <c r="D25" s="414">
        <f>+CAPM!F32</f>
        <v>9.8569999999999991E-2</v>
      </c>
      <c r="E25" s="393"/>
      <c r="F25" s="13"/>
      <c r="G25" s="13"/>
      <c r="H25" s="13"/>
      <c r="I25" s="13"/>
    </row>
    <row r="26" spans="1:9" ht="15.75">
      <c r="A26" s="13"/>
      <c r="B26" s="13"/>
      <c r="C26" s="419" t="s">
        <v>499</v>
      </c>
      <c r="D26" s="414">
        <f>+CAPM!F33</f>
        <v>9.5420000000000005E-2</v>
      </c>
      <c r="E26" s="393"/>
      <c r="F26" s="13"/>
      <c r="G26" s="13"/>
      <c r="H26" s="13"/>
      <c r="I26" s="13"/>
    </row>
    <row r="27" spans="1:9" ht="15.75">
      <c r="A27" s="13"/>
      <c r="B27" s="13"/>
      <c r="C27" s="416" t="s">
        <v>484</v>
      </c>
      <c r="D27" s="414">
        <f>+CAPM!F35</f>
        <v>9.5420000000000005E-2</v>
      </c>
      <c r="E27" s="393"/>
      <c r="F27" s="13"/>
      <c r="G27" s="13"/>
      <c r="H27" s="13"/>
      <c r="I27" s="13"/>
    </row>
    <row r="28" spans="1:9" ht="15.75">
      <c r="A28" s="13"/>
      <c r="B28" s="13"/>
      <c r="C28" s="416" t="s">
        <v>463</v>
      </c>
      <c r="D28" s="414">
        <f>+CAPM!G42</f>
        <v>7.2685E-2</v>
      </c>
      <c r="E28" s="391"/>
      <c r="F28" s="13"/>
      <c r="G28" s="13"/>
      <c r="H28" s="13"/>
      <c r="I28" s="13"/>
    </row>
    <row r="29" spans="1:9" ht="15.75">
      <c r="A29" s="13"/>
      <c r="B29" s="13"/>
      <c r="C29" s="416" t="s">
        <v>464</v>
      </c>
      <c r="D29" s="414">
        <f>+CAPM!G43</f>
        <v>8.4617499999999984E-2</v>
      </c>
      <c r="E29" s="391"/>
      <c r="F29" s="13"/>
      <c r="G29" s="13"/>
      <c r="H29" s="13"/>
      <c r="I29" s="13"/>
    </row>
    <row r="30" spans="1:9" ht="15.75">
      <c r="A30" s="13"/>
      <c r="B30" s="13"/>
      <c r="C30" s="292" t="s">
        <v>488</v>
      </c>
      <c r="D30" s="414">
        <f>+CAPM!G45</f>
        <v>9.6365000000000006E-2</v>
      </c>
      <c r="E30" s="391"/>
      <c r="F30" s="13"/>
      <c r="G30" s="13"/>
      <c r="H30" s="13"/>
      <c r="I30" s="13"/>
    </row>
    <row r="31" spans="1:9" ht="15.75">
      <c r="A31" s="13"/>
      <c r="B31" s="13"/>
      <c r="C31" s="292" t="s">
        <v>508</v>
      </c>
      <c r="D31" s="414">
        <f>+CAPM!G46</f>
        <v>9.5532499999999992E-2</v>
      </c>
      <c r="E31" s="391"/>
      <c r="F31" s="13"/>
      <c r="G31" s="13"/>
      <c r="H31" s="13"/>
      <c r="I31" s="13"/>
    </row>
    <row r="32" spans="1:9" ht="15.75">
      <c r="A32" s="13"/>
      <c r="B32" s="13"/>
      <c r="C32" s="292" t="s">
        <v>489</v>
      </c>
      <c r="D32" s="414">
        <f>+CAPM!G47</f>
        <v>9.3960000000000002E-2</v>
      </c>
      <c r="E32" s="391"/>
      <c r="F32" s="13"/>
      <c r="G32" s="13"/>
      <c r="H32" s="13"/>
      <c r="I32" s="13"/>
    </row>
    <row r="33" spans="1:9" ht="15.75">
      <c r="A33" s="13"/>
      <c r="B33" s="13"/>
      <c r="C33" s="292" t="s">
        <v>490</v>
      </c>
      <c r="D33" s="414">
        <f>+CAPM!G48</f>
        <v>8.6097499999999993E-2</v>
      </c>
      <c r="E33" s="391"/>
      <c r="F33" s="13"/>
      <c r="G33" s="13"/>
      <c r="H33" s="13"/>
      <c r="I33" s="13"/>
    </row>
    <row r="34" spans="1:9" ht="15.75">
      <c r="A34" s="13"/>
      <c r="B34" s="13"/>
      <c r="C34" s="416" t="s">
        <v>200</v>
      </c>
      <c r="D34" s="414">
        <f>+CAPM!G50</f>
        <v>8.4154999999999994E-2</v>
      </c>
      <c r="E34" s="391"/>
      <c r="F34" s="13"/>
      <c r="G34" s="13"/>
      <c r="H34" s="13"/>
      <c r="I34" s="13"/>
    </row>
    <row r="35" spans="1:9" ht="15.75">
      <c r="A35" s="13"/>
      <c r="B35" s="13"/>
      <c r="C35" s="416" t="s">
        <v>201</v>
      </c>
      <c r="D35" s="414">
        <f>+CAPM!G52</f>
        <v>9.3219999999999997E-2</v>
      </c>
      <c r="E35" s="391"/>
      <c r="F35" s="13"/>
      <c r="G35" s="13"/>
      <c r="H35" s="13"/>
      <c r="I35" s="13"/>
    </row>
    <row r="36" spans="1:9" ht="15.75">
      <c r="A36" s="13"/>
      <c r="B36" s="13"/>
      <c r="C36" s="417" t="s">
        <v>202</v>
      </c>
      <c r="D36" s="414">
        <f>+CAPM!G54</f>
        <v>9.9509999999999987E-2</v>
      </c>
      <c r="E36" s="391"/>
      <c r="F36" s="13"/>
      <c r="G36" s="13"/>
      <c r="H36" s="13"/>
      <c r="I36" s="13"/>
    </row>
    <row r="37" spans="1:9" ht="15.75">
      <c r="A37" s="13"/>
      <c r="B37" s="13"/>
      <c r="C37" s="416" t="s">
        <v>203</v>
      </c>
      <c r="D37" s="414">
        <f>+CAPM!G55</f>
        <v>8.7762499999999993E-2</v>
      </c>
      <c r="E37" s="391"/>
      <c r="F37" s="13"/>
      <c r="G37" s="13"/>
      <c r="H37" s="13"/>
      <c r="I37" s="13"/>
    </row>
    <row r="38" spans="1:9" ht="16.5" customHeight="1">
      <c r="A38" s="13"/>
      <c r="B38" s="13"/>
      <c r="C38" s="419" t="s">
        <v>500</v>
      </c>
      <c r="D38" s="414">
        <f>+CAPM!G57</f>
        <v>0.1077425</v>
      </c>
      <c r="E38" s="391" t="s">
        <v>0</v>
      </c>
      <c r="F38" s="13"/>
      <c r="G38" s="13"/>
      <c r="H38" s="13"/>
      <c r="I38" s="13"/>
    </row>
    <row r="39" spans="1:9" ht="16.5" customHeight="1">
      <c r="A39" s="13"/>
      <c r="B39" s="13"/>
      <c r="C39" s="419" t="s">
        <v>501</v>
      </c>
      <c r="D39" s="414">
        <f>+CAPM!G58</f>
        <v>0.1001575</v>
      </c>
      <c r="E39" s="391"/>
      <c r="F39" s="13"/>
      <c r="G39" s="13"/>
      <c r="H39" s="13"/>
      <c r="I39" s="13"/>
    </row>
    <row r="40" spans="1:9" ht="18.75" customHeight="1">
      <c r="A40" s="13"/>
      <c r="B40" s="13"/>
      <c r="C40" s="419" t="s">
        <v>502</v>
      </c>
      <c r="D40" s="414">
        <f>+CAPM!G59</f>
        <v>9.6920000000000006E-2</v>
      </c>
      <c r="E40" s="394"/>
      <c r="F40" s="13"/>
      <c r="G40" s="13"/>
      <c r="H40" s="13"/>
      <c r="I40" s="13"/>
    </row>
    <row r="41" spans="1:9" ht="18.75" customHeight="1">
      <c r="A41" s="13"/>
      <c r="B41" s="13"/>
      <c r="C41" s="413" t="s">
        <v>483</v>
      </c>
      <c r="D41" s="415">
        <f>+CAPM!G61</f>
        <v>9.6920000000000006E-2</v>
      </c>
      <c r="E41" s="394"/>
      <c r="F41" s="13"/>
      <c r="G41" s="13"/>
      <c r="H41" s="13"/>
      <c r="I41" s="13"/>
    </row>
    <row r="42" spans="1:9" ht="21.75" customHeight="1">
      <c r="A42" s="13"/>
      <c r="B42" s="13"/>
      <c r="C42" s="418" t="s">
        <v>279</v>
      </c>
      <c r="D42" s="234">
        <f>+'Single Stage Div Growth Model'!I39</f>
        <v>7.5999999999999998E-2</v>
      </c>
      <c r="G42" s="13"/>
      <c r="H42" s="13"/>
      <c r="I42" s="13"/>
    </row>
    <row r="43" spans="1:9" ht="21.75" customHeight="1">
      <c r="A43" s="13"/>
      <c r="B43" s="13"/>
      <c r="C43" s="418" t="s">
        <v>278</v>
      </c>
      <c r="D43" s="234">
        <f>+'Single Stage Div Growth Model'!I41</f>
        <v>8.8099999999999998E-2</v>
      </c>
      <c r="G43" s="13"/>
      <c r="H43" s="13"/>
      <c r="I43" s="13"/>
    </row>
    <row r="44" spans="1:9" ht="21.75" customHeight="1">
      <c r="A44" s="13"/>
      <c r="B44" s="13"/>
      <c r="C44" s="395" t="s">
        <v>280</v>
      </c>
      <c r="D44" s="396">
        <f>+'Two-Stage Dividend Growth Model'!H43</f>
        <v>8.5099999999999995E-2</v>
      </c>
      <c r="E44" s="13"/>
      <c r="F44" s="84" t="s">
        <v>0</v>
      </c>
      <c r="G44" s="85" t="s">
        <v>0</v>
      </c>
      <c r="H44" s="13"/>
      <c r="I44" s="13"/>
    </row>
    <row r="45" spans="1:9" ht="21.75" customHeight="1">
      <c r="A45" s="13"/>
      <c r="B45" s="13"/>
      <c r="C45" s="380" t="s">
        <v>410</v>
      </c>
      <c r="D45" s="381">
        <f>+'Direct NOPAT'!G77</f>
        <v>6.8400000000000002E-2</v>
      </c>
      <c r="E45" s="207" t="s">
        <v>0</v>
      </c>
      <c r="F45" s="13"/>
      <c r="G45" s="13"/>
      <c r="H45" s="13"/>
      <c r="I45" s="13"/>
    </row>
    <row r="46" spans="1:9" ht="15.75" thickBot="1">
      <c r="A46" s="13"/>
      <c r="B46" s="13"/>
      <c r="C46" s="13"/>
      <c r="D46" s="73"/>
      <c r="E46" s="13"/>
      <c r="F46" s="13"/>
      <c r="G46" s="13"/>
      <c r="H46" s="13"/>
      <c r="I46" s="13"/>
    </row>
    <row r="47" spans="1:9" ht="15.75" thickTop="1">
      <c r="A47" s="13"/>
      <c r="B47" s="13"/>
      <c r="C47" s="15" t="s">
        <v>65</v>
      </c>
      <c r="D47" s="54">
        <v>0.1077</v>
      </c>
      <c r="E47" s="163"/>
      <c r="F47" s="13"/>
      <c r="G47" s="13"/>
      <c r="H47" s="13"/>
      <c r="I47" s="13"/>
    </row>
    <row r="48" spans="1:9">
      <c r="A48" s="13"/>
      <c r="B48" s="13"/>
      <c r="C48" s="15" t="s">
        <v>66</v>
      </c>
      <c r="D48" s="383">
        <v>6.8400000000000002E-2</v>
      </c>
      <c r="E48" s="13"/>
      <c r="F48" s="13"/>
      <c r="G48" s="54"/>
      <c r="H48" s="54"/>
      <c r="I48" s="54"/>
    </row>
    <row r="49" spans="1:9">
      <c r="A49" s="13"/>
      <c r="B49" s="13"/>
      <c r="C49" s="15" t="s">
        <v>18</v>
      </c>
      <c r="D49" s="85">
        <f>MEDIAN(D14:D44)</f>
        <v>9.3219999999999997E-2</v>
      </c>
      <c r="E49" s="85"/>
      <c r="F49" s="85"/>
      <c r="G49" s="85"/>
      <c r="H49" s="85"/>
      <c r="I49" s="85"/>
    </row>
    <row r="50" spans="1:9">
      <c r="A50" s="13"/>
      <c r="B50" s="13"/>
      <c r="C50" s="15" t="s">
        <v>466</v>
      </c>
      <c r="D50" s="86">
        <f>AVERAGE(D14:D44)</f>
        <v>9.1004677419354835E-2</v>
      </c>
      <c r="E50" s="86"/>
      <c r="F50" s="86"/>
      <c r="G50" s="86"/>
      <c r="H50" s="86"/>
      <c r="I50" s="86"/>
    </row>
    <row r="51" spans="1:9">
      <c r="A51" s="13"/>
      <c r="B51" s="13"/>
      <c r="C51" s="15" t="s">
        <v>482</v>
      </c>
      <c r="D51" s="86">
        <f>HARMEAN(D14:D44)</f>
        <v>9.0167604337624788E-2</v>
      </c>
      <c r="E51" s="86"/>
      <c r="F51" s="86"/>
      <c r="G51" s="86"/>
      <c r="H51" s="86"/>
      <c r="I51" s="86"/>
    </row>
    <row r="52" spans="1:9" ht="35.25" customHeight="1" thickBot="1">
      <c r="A52" s="13"/>
      <c r="B52" s="13"/>
      <c r="C52" s="13"/>
      <c r="D52" s="13" t="s">
        <v>232</v>
      </c>
      <c r="E52" s="13"/>
      <c r="F52" s="13"/>
      <c r="G52" s="13"/>
      <c r="H52" s="13"/>
      <c r="I52" s="13"/>
    </row>
    <row r="53" spans="1:9" ht="21" thickBot="1">
      <c r="A53" s="13"/>
      <c r="B53" s="13"/>
      <c r="C53" s="224" t="s">
        <v>287</v>
      </c>
      <c r="D53" s="441">
        <v>9.0999999999999998E-2</v>
      </c>
      <c r="E53" s="87"/>
      <c r="F53" s="87"/>
    </row>
    <row r="54" spans="1:9" ht="20.25">
      <c r="A54" s="13"/>
      <c r="B54" s="13"/>
      <c r="C54" s="51"/>
      <c r="D54" s="420"/>
      <c r="E54" s="87"/>
      <c r="F54" s="87"/>
    </row>
    <row r="55" spans="1:9" ht="20.25">
      <c r="A55" s="13"/>
      <c r="B55" s="13"/>
      <c r="C55" s="51"/>
      <c r="D55" s="420"/>
      <c r="E55" s="87"/>
      <c r="F55" s="87"/>
    </row>
    <row r="56" spans="1:9">
      <c r="B56" s="13"/>
      <c r="C56" s="13"/>
      <c r="D56" s="13"/>
      <c r="E56" s="13"/>
      <c r="F56" s="13"/>
      <c r="G56" s="13"/>
      <c r="H56" s="13"/>
      <c r="I56" s="13"/>
    </row>
    <row r="57" spans="1:9">
      <c r="B57" s="13"/>
      <c r="C57" s="13"/>
      <c r="D57" s="13"/>
      <c r="E57" s="13"/>
      <c r="F57" s="13"/>
      <c r="G57" s="13"/>
      <c r="H57" s="13"/>
      <c r="I57" s="13"/>
    </row>
    <row r="58" spans="1:9">
      <c r="A58" s="13"/>
      <c r="B58" s="13"/>
      <c r="C58" s="13"/>
      <c r="D58" s="13"/>
      <c r="E58" s="13"/>
      <c r="F58" s="13"/>
      <c r="G58" s="13"/>
      <c r="H58" s="13"/>
      <c r="I58" s="13"/>
    </row>
    <row r="59" spans="1:9">
      <c r="A59" s="13"/>
      <c r="B59" s="13"/>
      <c r="C59" s="13"/>
      <c r="D59" s="13"/>
      <c r="E59" s="13"/>
      <c r="F59" s="13"/>
      <c r="G59" s="13"/>
      <c r="H59" s="13"/>
      <c r="I59" s="13"/>
    </row>
    <row r="60" spans="1:9">
      <c r="A60" s="13"/>
      <c r="B60" s="13"/>
      <c r="C60" s="13"/>
      <c r="D60" s="13"/>
      <c r="E60" s="13"/>
      <c r="F60" s="13"/>
      <c r="G60" s="13"/>
      <c r="H60" s="13"/>
      <c r="I60" s="13"/>
    </row>
    <row r="61" spans="1:9">
      <c r="A61" s="13"/>
      <c r="B61" s="13"/>
      <c r="C61" s="13"/>
      <c r="D61" s="13"/>
      <c r="E61" s="13"/>
      <c r="F61" s="13"/>
      <c r="G61" s="13"/>
      <c r="H61" s="13"/>
      <c r="I61" s="13"/>
    </row>
    <row r="62" spans="1:9" ht="15.75">
      <c r="A62" s="115" t="s">
        <v>288</v>
      </c>
      <c r="B62" s="13"/>
      <c r="C62" s="13"/>
      <c r="D62" s="13" t="s">
        <v>0</v>
      </c>
      <c r="E62" s="13"/>
      <c r="F62" s="13"/>
      <c r="G62" s="13"/>
      <c r="H62" s="13"/>
      <c r="I62" s="13"/>
    </row>
    <row r="63" spans="1:9" ht="15.75">
      <c r="A63" s="115" t="s">
        <v>414</v>
      </c>
      <c r="B63" s="13"/>
      <c r="C63" s="13"/>
      <c r="D63" s="13" t="s">
        <v>0</v>
      </c>
      <c r="E63" s="13"/>
      <c r="F63" s="13"/>
      <c r="G63" s="13"/>
      <c r="H63" s="13"/>
      <c r="I63" s="13"/>
    </row>
    <row r="64" spans="1:9">
      <c r="A64" s="13"/>
      <c r="B64" s="13"/>
      <c r="C64" s="13"/>
      <c r="D64" s="13"/>
      <c r="E64" s="13"/>
      <c r="F64" s="13"/>
      <c r="G64" s="13"/>
      <c r="H64" s="13"/>
      <c r="I64" s="13"/>
    </row>
    <row r="65" spans="1:9">
      <c r="A65" s="13"/>
      <c r="B65" s="13"/>
      <c r="C65" s="13"/>
      <c r="D65" s="13"/>
      <c r="E65" s="13"/>
      <c r="F65" s="13"/>
      <c r="G65" s="13"/>
      <c r="H65" s="13"/>
      <c r="I65" s="13"/>
    </row>
    <row r="66" spans="1:9">
      <c r="A66" s="13"/>
      <c r="B66" s="13"/>
      <c r="C66" s="13"/>
      <c r="D66" s="13"/>
      <c r="E66" s="13"/>
      <c r="F66" s="13"/>
      <c r="G66" s="13"/>
      <c r="H66" s="13"/>
      <c r="I66" s="13"/>
    </row>
    <row r="67" spans="1:9">
      <c r="A67" s="13"/>
      <c r="B67" s="13"/>
      <c r="C67" s="13"/>
      <c r="D67" s="13"/>
      <c r="E67" s="13"/>
      <c r="F67" s="13"/>
      <c r="G67" s="13"/>
      <c r="H67" s="13"/>
      <c r="I67" s="13"/>
    </row>
    <row r="68" spans="1:9">
      <c r="A68" s="13"/>
      <c r="B68" s="13"/>
      <c r="C68" s="13"/>
      <c r="D68" s="13"/>
      <c r="E68" s="13"/>
      <c r="F68" s="13"/>
      <c r="G68" s="13"/>
      <c r="H68" s="13"/>
      <c r="I68" s="13"/>
    </row>
    <row r="69" spans="1:9">
      <c r="A69" s="13"/>
      <c r="B69" s="13"/>
      <c r="C69" s="13"/>
      <c r="D69" s="13"/>
      <c r="E69" s="13"/>
      <c r="F69" s="13"/>
      <c r="G69" s="13"/>
      <c r="H69" s="13"/>
      <c r="I69" s="13"/>
    </row>
    <row r="70" spans="1:9">
      <c r="A70" s="13"/>
      <c r="B70" s="13"/>
      <c r="C70" s="13"/>
      <c r="D70" s="13"/>
      <c r="E70" s="13"/>
      <c r="F70" s="13"/>
      <c r="G70" s="13"/>
      <c r="H70" s="13"/>
      <c r="I70" s="13"/>
    </row>
    <row r="71" spans="1:9">
      <c r="A71" s="13"/>
      <c r="B71" s="13"/>
      <c r="C71" s="13"/>
      <c r="D71" s="13"/>
      <c r="E71" s="13"/>
      <c r="F71" s="13"/>
      <c r="G71" s="13"/>
      <c r="H71" s="13"/>
      <c r="I71" s="13"/>
    </row>
    <row r="72" spans="1:9">
      <c r="A72" s="13"/>
      <c r="B72" s="13"/>
      <c r="C72" s="13"/>
      <c r="D72" s="13"/>
      <c r="E72" s="13"/>
      <c r="F72" s="13"/>
      <c r="G72" s="13"/>
      <c r="H72" s="13"/>
      <c r="I72" s="13"/>
    </row>
    <row r="73" spans="1:9">
      <c r="A73" s="13"/>
      <c r="B73" s="13"/>
      <c r="C73" s="13"/>
      <c r="D73" s="13"/>
      <c r="E73" s="13"/>
      <c r="F73" s="13"/>
      <c r="G73" s="13"/>
      <c r="H73" s="13"/>
      <c r="I73" s="13"/>
    </row>
    <row r="74" spans="1:9">
      <c r="A74" s="13"/>
      <c r="B74" s="13"/>
      <c r="C74" s="13"/>
      <c r="D74" s="13"/>
      <c r="E74" s="13"/>
      <c r="F74" s="13"/>
      <c r="G74" s="13"/>
      <c r="H74" s="13"/>
      <c r="I74" s="13"/>
    </row>
    <row r="75" spans="1:9">
      <c r="A75" s="13"/>
      <c r="B75" s="13"/>
      <c r="C75" s="13"/>
      <c r="D75" s="13"/>
      <c r="E75" s="13"/>
      <c r="F75" s="13"/>
      <c r="G75" s="13"/>
      <c r="H75" s="13"/>
      <c r="I75" s="13"/>
    </row>
    <row r="76" spans="1:9">
      <c r="A76" s="13"/>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sheetData>
  <pageMargins left="0.25" right="0.25" top="0.75" bottom="0.75" header="0.3" footer="0.3"/>
  <pageSetup scale="4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1B68-F78F-4F0B-B297-7DBEE2F24F41}">
  <sheetPr>
    <tabColor rgb="FF92D050"/>
    <pageSetUpPr fitToPage="1"/>
  </sheetPr>
  <dimension ref="A1:J84"/>
  <sheetViews>
    <sheetView view="pageBreakPreview" topLeftCell="A9"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5" t="s">
        <v>1</v>
      </c>
      <c r="B1" s="25"/>
      <c r="C1" s="25"/>
      <c r="D1" s="13"/>
      <c r="E1" s="13"/>
      <c r="F1" s="13"/>
      <c r="G1" s="13"/>
      <c r="H1" s="13"/>
      <c r="I1" s="13"/>
      <c r="J1" s="13"/>
    </row>
    <row r="2" spans="1:10" ht="15.75">
      <c r="A2" s="26" t="s">
        <v>9</v>
      </c>
      <c r="B2" s="26"/>
      <c r="C2" s="26"/>
      <c r="D2" s="13"/>
      <c r="E2" s="13"/>
      <c r="F2" s="13"/>
      <c r="G2" s="13"/>
      <c r="H2" s="13"/>
      <c r="I2" s="13"/>
      <c r="J2" s="13"/>
    </row>
    <row r="3" spans="1:10">
      <c r="A3" s="27" t="s">
        <v>97</v>
      </c>
      <c r="B3" s="27"/>
      <c r="C3" s="27"/>
      <c r="D3" s="13"/>
      <c r="E3" s="13"/>
      <c r="F3" s="13"/>
      <c r="G3" s="13"/>
      <c r="H3" s="13"/>
      <c r="I3" s="13"/>
      <c r="J3" s="13"/>
    </row>
    <row r="4" spans="1:10">
      <c r="A4" s="27"/>
      <c r="B4" s="27"/>
      <c r="C4" s="27"/>
      <c r="D4" s="13"/>
      <c r="E4" s="13"/>
      <c r="F4" s="13"/>
      <c r="G4" s="13"/>
      <c r="H4" s="13"/>
      <c r="I4" s="13"/>
      <c r="J4" s="13"/>
    </row>
    <row r="5" spans="1:10" ht="15.75" thickBot="1">
      <c r="A5" s="13"/>
      <c r="B5" s="13"/>
      <c r="C5" s="13"/>
      <c r="D5" s="13"/>
      <c r="E5" s="13"/>
      <c r="F5" s="13"/>
      <c r="G5" s="13"/>
      <c r="H5" s="28" t="s">
        <v>0</v>
      </c>
      <c r="I5" s="28"/>
      <c r="J5" s="13"/>
    </row>
    <row r="6" spans="1:10" ht="18.75" thickBot="1">
      <c r="A6" s="29" t="str">
        <f>+'S&amp;D'!A12</f>
        <v>Electric Utilities</v>
      </c>
      <c r="B6" s="13"/>
      <c r="C6" s="13"/>
      <c r="D6" s="30"/>
      <c r="E6" s="30"/>
      <c r="F6" s="30"/>
      <c r="G6" s="13"/>
      <c r="H6" s="13"/>
      <c r="I6" s="13"/>
      <c r="J6" s="13"/>
    </row>
    <row r="7" spans="1:10" ht="20.25">
      <c r="B7" s="32"/>
      <c r="C7" s="32"/>
      <c r="D7" s="13"/>
      <c r="E7" s="33" t="s">
        <v>249</v>
      </c>
      <c r="F7" s="13"/>
      <c r="G7" s="13"/>
      <c r="H7" s="13"/>
      <c r="I7" s="13"/>
      <c r="J7" s="13"/>
    </row>
    <row r="8" spans="1:10" ht="18.75" thickBot="1">
      <c r="A8" s="32"/>
      <c r="B8" s="32"/>
      <c r="C8" s="32"/>
      <c r="D8" s="30"/>
      <c r="E8" s="38" t="s">
        <v>111</v>
      </c>
      <c r="F8" s="30"/>
      <c r="G8" s="13"/>
      <c r="H8" s="13"/>
      <c r="I8" s="13"/>
      <c r="J8" s="13"/>
    </row>
    <row r="9" spans="1:10" ht="18">
      <c r="A9" s="32"/>
      <c r="B9" s="32"/>
      <c r="C9" s="32"/>
      <c r="D9" s="13"/>
      <c r="E9" s="36"/>
      <c r="F9" s="13"/>
      <c r="G9" s="13"/>
      <c r="H9" s="13"/>
      <c r="I9" s="13"/>
      <c r="J9" s="13"/>
    </row>
    <row r="10" spans="1:10" ht="18">
      <c r="A10" s="32"/>
      <c r="B10" s="32"/>
      <c r="H10" s="13"/>
      <c r="I10" s="13"/>
      <c r="J10" s="13"/>
    </row>
    <row r="11" spans="1:10" ht="18">
      <c r="A11" s="32"/>
      <c r="B11" s="32"/>
      <c r="H11" s="13"/>
      <c r="I11" s="13"/>
      <c r="J11" s="13"/>
    </row>
    <row r="12" spans="1:10" ht="30" customHeight="1" thickBot="1">
      <c r="A12" s="32"/>
      <c r="B12" s="32"/>
      <c r="C12" t="s">
        <v>0</v>
      </c>
      <c r="H12" s="13"/>
      <c r="I12" s="13"/>
      <c r="J12" s="13"/>
    </row>
    <row r="13" spans="1:10" ht="26.25" customHeight="1" thickBot="1">
      <c r="A13" s="176" t="s">
        <v>266</v>
      </c>
      <c r="B13" s="13" t="s">
        <v>0</v>
      </c>
      <c r="C13" s="13"/>
      <c r="D13" s="13"/>
      <c r="E13" s="13"/>
      <c r="F13" s="13"/>
      <c r="G13" s="13"/>
      <c r="H13" s="13"/>
      <c r="I13" s="13"/>
      <c r="J13" s="13"/>
    </row>
    <row r="14" spans="1:10" ht="42" customHeight="1" thickBot="1">
      <c r="A14" s="175" t="s">
        <v>264</v>
      </c>
      <c r="B14" s="174" t="s">
        <v>255</v>
      </c>
      <c r="C14" s="173" t="s">
        <v>267</v>
      </c>
      <c r="D14" s="174" t="s">
        <v>257</v>
      </c>
      <c r="E14" s="174" t="s">
        <v>457</v>
      </c>
      <c r="F14" s="172" t="s">
        <v>256</v>
      </c>
      <c r="G14" s="13"/>
      <c r="H14" s="13"/>
      <c r="I14" s="13"/>
      <c r="J14" s="13"/>
    </row>
    <row r="15" spans="1:10">
      <c r="A15" s="169"/>
      <c r="B15" s="121"/>
      <c r="C15" s="121"/>
      <c r="D15" s="121"/>
      <c r="E15" s="121"/>
      <c r="F15" s="170"/>
      <c r="G15" s="13"/>
      <c r="H15" s="13"/>
      <c r="I15" s="13"/>
      <c r="J15" s="13"/>
    </row>
    <row r="16" spans="1:10" ht="15.75">
      <c r="A16" s="216" t="s">
        <v>459</v>
      </c>
      <c r="B16" s="230">
        <v>3.3799999999999997E-2</v>
      </c>
      <c r="C16" s="227">
        <f>+'Beta for CAPM'!I39</f>
        <v>0.9</v>
      </c>
      <c r="D16" s="217">
        <f>+B16*C16</f>
        <v>3.0419999999999999E-2</v>
      </c>
      <c r="E16" s="217">
        <f>+'Growth &amp; Inflation Rates'!F93</f>
        <v>4.1419999999999998E-2</v>
      </c>
      <c r="F16" s="218">
        <f>+D16+E16</f>
        <v>7.1840000000000001E-2</v>
      </c>
      <c r="G16" s="13"/>
      <c r="H16" s="13"/>
      <c r="I16" s="13"/>
      <c r="J16" s="13"/>
    </row>
    <row r="17" spans="1:10" ht="15.75">
      <c r="A17" s="216" t="s">
        <v>460</v>
      </c>
      <c r="B17" s="230">
        <v>4.6699999999999998E-2</v>
      </c>
      <c r="C17" s="227">
        <f>+C16</f>
        <v>0.9</v>
      </c>
      <c r="D17" s="217">
        <f>+B17*C17</f>
        <v>4.2029999999999998E-2</v>
      </c>
      <c r="E17" s="217">
        <f>+E16</f>
        <v>4.1419999999999998E-2</v>
      </c>
      <c r="F17" s="218">
        <f>+D17+E17</f>
        <v>8.3449999999999996E-2</v>
      </c>
      <c r="G17" s="13"/>
      <c r="H17" s="13"/>
      <c r="I17" s="13"/>
      <c r="J17" s="13"/>
    </row>
    <row r="18" spans="1:10" ht="15.75">
      <c r="A18" s="219"/>
      <c r="B18" s="115"/>
      <c r="C18" s="115"/>
      <c r="D18" s="115"/>
      <c r="E18" s="115"/>
      <c r="F18" s="220"/>
      <c r="G18" s="13"/>
      <c r="H18" s="13"/>
      <c r="I18" s="13"/>
      <c r="J18" s="13"/>
    </row>
    <row r="19" spans="1:10" ht="15.75">
      <c r="A19" s="216" t="s">
        <v>493</v>
      </c>
      <c r="B19" s="230">
        <v>5.9400000000000001E-2</v>
      </c>
      <c r="C19" s="227">
        <f>+C16</f>
        <v>0.9</v>
      </c>
      <c r="D19" s="217">
        <f>+B19*C19</f>
        <v>5.3460000000000001E-2</v>
      </c>
      <c r="E19" s="217">
        <f>+E16</f>
        <v>4.1419999999999998E-2</v>
      </c>
      <c r="F19" s="218">
        <f>+D19+E19</f>
        <v>9.4879999999999992E-2</v>
      </c>
      <c r="G19" s="13"/>
      <c r="H19" s="13"/>
      <c r="I19" s="13"/>
      <c r="J19" s="13"/>
    </row>
    <row r="20" spans="1:10" ht="15.75">
      <c r="A20" s="216" t="s">
        <v>504</v>
      </c>
      <c r="B20" s="230">
        <v>5.8500000000000003E-2</v>
      </c>
      <c r="C20" s="227">
        <f>+C16</f>
        <v>0.9</v>
      </c>
      <c r="D20" s="217">
        <f>+B20*C20</f>
        <v>5.2650000000000002E-2</v>
      </c>
      <c r="E20" s="217">
        <f>+E17</f>
        <v>4.1419999999999998E-2</v>
      </c>
      <c r="F20" s="218">
        <f>+D20+E20</f>
        <v>9.4070000000000001E-2</v>
      </c>
      <c r="G20" s="13"/>
      <c r="H20" s="13"/>
      <c r="I20" s="13"/>
      <c r="J20" s="13"/>
    </row>
    <row r="21" spans="1:10" ht="15.75">
      <c r="A21" s="216" t="s">
        <v>491</v>
      </c>
      <c r="B21" s="230">
        <v>5.6800000000000003E-2</v>
      </c>
      <c r="C21" s="227">
        <f>+C16</f>
        <v>0.9</v>
      </c>
      <c r="D21" s="217">
        <f t="shared" ref="D21:D22" si="0">+B21*C21</f>
        <v>5.1120000000000006E-2</v>
      </c>
      <c r="E21" s="217">
        <f>+E16</f>
        <v>4.1419999999999998E-2</v>
      </c>
      <c r="F21" s="218">
        <f t="shared" ref="F21:F22" si="1">+D21+E21</f>
        <v>9.2540000000000011E-2</v>
      </c>
      <c r="G21" s="13"/>
      <c r="H21" s="13"/>
      <c r="I21" s="13"/>
      <c r="J21" s="13"/>
    </row>
    <row r="22" spans="1:10" ht="15.75">
      <c r="A22" s="216" t="s">
        <v>492</v>
      </c>
      <c r="B22" s="230">
        <v>4.8300000000000003E-2</v>
      </c>
      <c r="C22" s="227">
        <f>+C16</f>
        <v>0.9</v>
      </c>
      <c r="D22" s="217">
        <f t="shared" si="0"/>
        <v>4.3470000000000002E-2</v>
      </c>
      <c r="E22" s="217">
        <f>+E16</f>
        <v>4.1419999999999998E-2</v>
      </c>
      <c r="F22" s="218">
        <f t="shared" si="1"/>
        <v>8.4889999999999993E-2</v>
      </c>
      <c r="G22" s="13"/>
      <c r="H22" s="13"/>
      <c r="I22" s="13"/>
      <c r="J22" s="13"/>
    </row>
    <row r="23" spans="1:10" ht="15.75">
      <c r="A23" s="216" t="s">
        <v>0</v>
      </c>
      <c r="B23" s="230" t="s">
        <v>0</v>
      </c>
      <c r="C23" s="228" t="s">
        <v>0</v>
      </c>
      <c r="D23" s="217" t="s">
        <v>0</v>
      </c>
      <c r="E23" s="217" t="s">
        <v>0</v>
      </c>
      <c r="F23" s="218" t="s">
        <v>0</v>
      </c>
      <c r="G23" s="13"/>
      <c r="H23" s="13"/>
      <c r="I23" s="13"/>
      <c r="J23" s="13"/>
    </row>
    <row r="24" spans="1:10" ht="15.75">
      <c r="A24" s="216" t="s">
        <v>260</v>
      </c>
      <c r="B24" s="230">
        <v>4.6199999999999998E-2</v>
      </c>
      <c r="C24" s="227">
        <f>+C16</f>
        <v>0.9</v>
      </c>
      <c r="D24" s="217">
        <f>+B24*C24</f>
        <v>4.1579999999999999E-2</v>
      </c>
      <c r="E24" s="217">
        <f>+E16</f>
        <v>4.1419999999999998E-2</v>
      </c>
      <c r="F24" s="218">
        <f>+D24+E24</f>
        <v>8.299999999999999E-2</v>
      </c>
      <c r="G24" s="13"/>
      <c r="H24" s="13"/>
      <c r="I24" s="13"/>
      <c r="J24" s="13"/>
    </row>
    <row r="25" spans="1:10" ht="15.75">
      <c r="A25" s="216" t="s">
        <v>0</v>
      </c>
      <c r="B25" s="230" t="s">
        <v>0</v>
      </c>
      <c r="C25" s="228" t="s">
        <v>0</v>
      </c>
      <c r="D25" s="217" t="s">
        <v>0</v>
      </c>
      <c r="E25" s="217" t="s">
        <v>0</v>
      </c>
      <c r="F25" s="218" t="s">
        <v>0</v>
      </c>
      <c r="G25" s="13"/>
      <c r="H25" s="13"/>
      <c r="I25" s="13"/>
      <c r="J25" s="13"/>
    </row>
    <row r="26" spans="1:10" ht="15.75">
      <c r="A26" s="216" t="s">
        <v>505</v>
      </c>
      <c r="B26" s="230">
        <v>5.6000000000000001E-2</v>
      </c>
      <c r="C26" s="227">
        <f>+C16</f>
        <v>0.9</v>
      </c>
      <c r="D26" s="217">
        <f>+B26*C26</f>
        <v>5.04E-2</v>
      </c>
      <c r="E26" s="217">
        <f>+E16</f>
        <v>4.1419999999999998E-2</v>
      </c>
      <c r="F26" s="218">
        <f>+D26+E26</f>
        <v>9.1819999999999999E-2</v>
      </c>
      <c r="G26" s="13"/>
      <c r="H26" s="13"/>
      <c r="I26" s="13"/>
      <c r="J26" s="13"/>
    </row>
    <row r="27" spans="1:10" ht="15.75">
      <c r="A27" s="216" t="s">
        <v>0</v>
      </c>
      <c r="B27" s="230" t="s">
        <v>0</v>
      </c>
      <c r="C27" s="228" t="s">
        <v>0</v>
      </c>
      <c r="D27" s="217" t="s">
        <v>0</v>
      </c>
      <c r="E27" s="217" t="s">
        <v>0</v>
      </c>
      <c r="F27" s="218" t="s">
        <v>0</v>
      </c>
      <c r="G27" s="13"/>
      <c r="H27" s="13"/>
      <c r="I27" s="13"/>
      <c r="J27" s="13"/>
    </row>
    <row r="28" spans="1:10" ht="15.75">
      <c r="A28" s="216" t="s">
        <v>261</v>
      </c>
      <c r="B28" s="230">
        <v>6.2799999999999995E-2</v>
      </c>
      <c r="C28" s="227">
        <f>+C16</f>
        <v>0.9</v>
      </c>
      <c r="D28" s="217">
        <f>+B28*C28</f>
        <v>5.6519999999999994E-2</v>
      </c>
      <c r="E28" s="217">
        <f>+E16</f>
        <v>4.1419999999999998E-2</v>
      </c>
      <c r="F28" s="218">
        <f>+D28+E28</f>
        <v>9.7939999999999999E-2</v>
      </c>
      <c r="G28" s="13"/>
      <c r="H28" s="13"/>
      <c r="I28" s="13"/>
      <c r="J28" s="13"/>
    </row>
    <row r="29" spans="1:10" ht="15.75">
      <c r="A29" s="216" t="s">
        <v>262</v>
      </c>
      <c r="B29" s="230">
        <v>5.0099999999999999E-2</v>
      </c>
      <c r="C29" s="227">
        <f>+C16</f>
        <v>0.9</v>
      </c>
      <c r="D29" s="217">
        <f>+B29*C29</f>
        <v>4.5089999999999998E-2</v>
      </c>
      <c r="E29" s="217">
        <f>+E16</f>
        <v>4.1419999999999998E-2</v>
      </c>
      <c r="F29" s="218">
        <f>+D29+E29</f>
        <v>8.6510000000000004E-2</v>
      </c>
      <c r="G29" s="13"/>
      <c r="H29" s="13"/>
      <c r="I29" s="13"/>
      <c r="J29" s="13"/>
    </row>
    <row r="30" spans="1:10" ht="15.75">
      <c r="A30" s="216"/>
      <c r="B30" s="230"/>
      <c r="C30" s="227"/>
      <c r="D30" s="217"/>
      <c r="E30" s="217"/>
      <c r="F30" s="218"/>
      <c r="G30" s="13"/>
      <c r="H30" s="13"/>
      <c r="I30" s="13"/>
      <c r="J30" s="13"/>
    </row>
    <row r="31" spans="1:10" ht="15.75">
      <c r="A31" s="216" t="s">
        <v>494</v>
      </c>
      <c r="B31" s="230">
        <v>7.17E-2</v>
      </c>
      <c r="C31" s="227">
        <f>+C16</f>
        <v>0.9</v>
      </c>
      <c r="D31" s="217">
        <f>+B31*C31</f>
        <v>6.4530000000000004E-2</v>
      </c>
      <c r="E31" s="217">
        <f>+E16</f>
        <v>4.1419999999999998E-2</v>
      </c>
      <c r="F31" s="218">
        <f>+D31+E31</f>
        <v>0.10595</v>
      </c>
      <c r="G31" s="13"/>
      <c r="H31" s="13"/>
      <c r="I31" s="13"/>
      <c r="J31" s="13"/>
    </row>
    <row r="32" spans="1:10" ht="15.75">
      <c r="A32" s="216" t="s">
        <v>495</v>
      </c>
      <c r="B32" s="230">
        <v>6.3500000000000001E-2</v>
      </c>
      <c r="C32" s="227">
        <f>+C17</f>
        <v>0.9</v>
      </c>
      <c r="D32" s="217">
        <f>+B32*C32</f>
        <v>5.7149999999999999E-2</v>
      </c>
      <c r="E32" s="217">
        <f>+E17</f>
        <v>4.1419999999999998E-2</v>
      </c>
      <c r="F32" s="218">
        <f>+D32+E32</f>
        <v>9.8569999999999991E-2</v>
      </c>
      <c r="G32" s="13"/>
      <c r="H32" s="13"/>
      <c r="I32" s="13"/>
      <c r="J32" s="13"/>
    </row>
    <row r="33" spans="1:10" ht="15.75">
      <c r="A33" s="216" t="s">
        <v>496</v>
      </c>
      <c r="B33" s="230">
        <v>0.06</v>
      </c>
      <c r="C33" s="227">
        <f>+C16</f>
        <v>0.9</v>
      </c>
      <c r="D33" s="217">
        <f>+B33*C33</f>
        <v>5.3999999999999999E-2</v>
      </c>
      <c r="E33" s="217">
        <f>+E16</f>
        <v>4.1419999999999998E-2</v>
      </c>
      <c r="F33" s="218">
        <f>+D33+E33</f>
        <v>9.5420000000000005E-2</v>
      </c>
      <c r="G33" s="13"/>
      <c r="H33" s="13"/>
      <c r="I33" s="13"/>
      <c r="J33" s="13"/>
    </row>
    <row r="34" spans="1:10" ht="15.75">
      <c r="A34" s="216"/>
      <c r="B34" s="230"/>
      <c r="C34" s="227"/>
      <c r="D34" s="217"/>
      <c r="E34" s="217"/>
      <c r="F34" s="218"/>
      <c r="G34" s="13"/>
      <c r="H34" s="13"/>
      <c r="I34" s="13"/>
      <c r="J34" s="13"/>
    </row>
    <row r="35" spans="1:10" ht="15.75">
      <c r="A35" s="216" t="s">
        <v>473</v>
      </c>
      <c r="B35" s="230">
        <v>0.06</v>
      </c>
      <c r="C35" s="227">
        <f>+C16</f>
        <v>0.9</v>
      </c>
      <c r="D35" s="217">
        <f>+B35*C35</f>
        <v>5.3999999999999999E-2</v>
      </c>
      <c r="E35" s="217">
        <f>+E16</f>
        <v>4.1419999999999998E-2</v>
      </c>
      <c r="F35" s="218">
        <f>+D35+E35</f>
        <v>9.5420000000000005E-2</v>
      </c>
      <c r="G35" s="13"/>
      <c r="H35" s="13"/>
      <c r="I35" s="13"/>
      <c r="J35" s="13"/>
    </row>
    <row r="36" spans="1:10" ht="15.75" thickBot="1">
      <c r="A36" s="409"/>
      <c r="B36" s="30"/>
      <c r="C36" s="30"/>
      <c r="D36" s="30"/>
      <c r="E36" s="30"/>
      <c r="F36" s="410"/>
      <c r="G36" s="13"/>
      <c r="H36" s="13"/>
      <c r="I36" s="13"/>
      <c r="J36" s="13"/>
    </row>
    <row r="37" spans="1:10">
      <c r="A37" s="13"/>
      <c r="B37" s="13"/>
      <c r="C37" s="13"/>
      <c r="D37" s="13"/>
      <c r="E37" s="13"/>
      <c r="F37" s="13"/>
      <c r="G37" s="13"/>
      <c r="H37" s="13"/>
      <c r="I37" s="13"/>
      <c r="J37" s="13"/>
    </row>
    <row r="38" spans="1:10" ht="27" customHeight="1" thickBot="1">
      <c r="A38" s="13"/>
      <c r="B38" s="13"/>
      <c r="C38" s="13"/>
      <c r="D38" s="13"/>
      <c r="E38" s="13"/>
      <c r="F38" s="13"/>
      <c r="G38" s="13" t="s">
        <v>0</v>
      </c>
      <c r="H38" s="13"/>
      <c r="I38" s="13"/>
      <c r="J38" s="13"/>
    </row>
    <row r="39" spans="1:10" ht="16.5" thickBot="1">
      <c r="A39" s="176" t="s">
        <v>265</v>
      </c>
      <c r="B39" s="13"/>
      <c r="C39" s="13"/>
      <c r="D39" s="13"/>
      <c r="E39" s="13"/>
      <c r="F39" s="13"/>
      <c r="G39" s="13"/>
      <c r="H39" s="13"/>
      <c r="I39" s="13"/>
      <c r="J39" s="13"/>
    </row>
    <row r="40" spans="1:10" ht="36.75" thickBot="1">
      <c r="A40" s="175" t="s">
        <v>263</v>
      </c>
      <c r="B40" s="174" t="s">
        <v>255</v>
      </c>
      <c r="C40" s="173" t="s">
        <v>267</v>
      </c>
      <c r="D40" s="174" t="s">
        <v>258</v>
      </c>
      <c r="E40" s="174" t="s">
        <v>259</v>
      </c>
      <c r="F40" s="174" t="s">
        <v>457</v>
      </c>
      <c r="G40" s="172" t="s">
        <v>256</v>
      </c>
      <c r="H40" s="13"/>
      <c r="I40" s="13"/>
      <c r="J40" s="13"/>
    </row>
    <row r="41" spans="1:10">
      <c r="A41" s="169"/>
      <c r="B41" s="121"/>
      <c r="C41" s="121"/>
      <c r="D41" s="121"/>
      <c r="E41" s="121"/>
      <c r="F41" s="121"/>
      <c r="G41" s="170"/>
      <c r="H41" s="13"/>
      <c r="I41" s="13"/>
      <c r="J41" s="13"/>
    </row>
    <row r="42" spans="1:10" ht="15.75">
      <c r="A42" s="216" t="s">
        <v>459</v>
      </c>
      <c r="B42" s="230">
        <f>+B16</f>
        <v>3.3799999999999997E-2</v>
      </c>
      <c r="C42" s="226">
        <f>+C16</f>
        <v>0.9</v>
      </c>
      <c r="D42" s="217">
        <f>+B42*C42*0.75</f>
        <v>2.2814999999999998E-2</v>
      </c>
      <c r="E42" s="230">
        <f>+B42*0.25</f>
        <v>8.4499999999999992E-3</v>
      </c>
      <c r="F42" s="217">
        <f>+E16</f>
        <v>4.1419999999999998E-2</v>
      </c>
      <c r="G42" s="218">
        <f>+D42+E42+F42</f>
        <v>7.2685E-2</v>
      </c>
      <c r="H42" s="13"/>
      <c r="I42" s="13"/>
      <c r="J42" s="13"/>
    </row>
    <row r="43" spans="1:10" ht="15.75">
      <c r="A43" s="216" t="s">
        <v>460</v>
      </c>
      <c r="B43" s="230">
        <f>+B17</f>
        <v>4.6699999999999998E-2</v>
      </c>
      <c r="C43" s="226">
        <f>+C17</f>
        <v>0.9</v>
      </c>
      <c r="D43" s="217">
        <f>+B43*C43*0.75</f>
        <v>3.1522499999999995E-2</v>
      </c>
      <c r="E43" s="230">
        <f>+B43*0.25</f>
        <v>1.1675E-2</v>
      </c>
      <c r="F43" s="217">
        <f>+E17</f>
        <v>4.1419999999999998E-2</v>
      </c>
      <c r="G43" s="218">
        <f>+D43+E43+F43</f>
        <v>8.4617499999999984E-2</v>
      </c>
      <c r="H43" s="13"/>
      <c r="I43" s="13"/>
      <c r="J43" s="13"/>
    </row>
    <row r="44" spans="1:10" ht="15.75">
      <c r="A44" s="219"/>
      <c r="B44" s="115"/>
      <c r="C44" s="115"/>
      <c r="D44" s="115"/>
      <c r="E44" s="115"/>
      <c r="F44" s="115"/>
      <c r="G44" s="220"/>
      <c r="H44" s="13"/>
      <c r="I44" s="13"/>
      <c r="J44" s="13"/>
    </row>
    <row r="45" spans="1:10" ht="15.75">
      <c r="A45" s="216" t="str">
        <f t="shared" ref="A45:C46" si="2">+A19</f>
        <v>Damodaran Implied ERP Ex Ante   Trailing 12 mo Cash Yield (3)</v>
      </c>
      <c r="B45" s="230">
        <f t="shared" si="2"/>
        <v>5.9400000000000001E-2</v>
      </c>
      <c r="C45" s="226">
        <f t="shared" si="2"/>
        <v>0.9</v>
      </c>
      <c r="D45" s="217">
        <f>+B45*C45*0.75</f>
        <v>4.0094999999999999E-2</v>
      </c>
      <c r="E45" s="230">
        <f>+B45*0.25</f>
        <v>1.485E-2</v>
      </c>
      <c r="F45" s="217">
        <f>+E19</f>
        <v>4.1419999999999998E-2</v>
      </c>
      <c r="G45" s="218">
        <f>+D45+E45+F45</f>
        <v>9.6365000000000006E-2</v>
      </c>
      <c r="H45" s="13"/>
      <c r="I45" s="13"/>
      <c r="J45" s="13"/>
    </row>
    <row r="46" spans="1:10" ht="15.75">
      <c r="A46" s="216" t="str">
        <f t="shared" si="2"/>
        <v>Damodaran Implied ERP Ex Ante   Avg CF Yield Last 10 Yrs (3)</v>
      </c>
      <c r="B46" s="230">
        <f t="shared" si="2"/>
        <v>5.8500000000000003E-2</v>
      </c>
      <c r="C46" s="226">
        <f t="shared" si="2"/>
        <v>0.9</v>
      </c>
      <c r="D46" s="217">
        <f>+B46*C46*0.75</f>
        <v>3.9487500000000002E-2</v>
      </c>
      <c r="E46" s="230">
        <f>+B46*0.25</f>
        <v>1.4625000000000001E-2</v>
      </c>
      <c r="F46" s="217">
        <f>+E20</f>
        <v>4.1419999999999998E-2</v>
      </c>
      <c r="G46" s="218">
        <f>+D46+E46+F46</f>
        <v>9.5532499999999992E-2</v>
      </c>
      <c r="H46" s="13"/>
      <c r="I46" s="13"/>
      <c r="J46" s="13"/>
    </row>
    <row r="47" spans="1:10" ht="15.75">
      <c r="A47" s="216" t="str">
        <f t="shared" ref="A47:C47" si="3">+A21</f>
        <v>Damodaran Implied ERP Ex Ante   Net Cash Yield (3)</v>
      </c>
      <c r="B47" s="230">
        <f t="shared" si="3"/>
        <v>5.6800000000000003E-2</v>
      </c>
      <c r="C47" s="226">
        <f t="shared" si="3"/>
        <v>0.9</v>
      </c>
      <c r="D47" s="217">
        <f t="shared" ref="D47:D48" si="4">+B47*C47*0.75</f>
        <v>3.8340000000000006E-2</v>
      </c>
      <c r="E47" s="230">
        <f t="shared" ref="E47:E48" si="5">+B47*0.25</f>
        <v>1.4200000000000001E-2</v>
      </c>
      <c r="F47" s="217">
        <f>+E21</f>
        <v>4.1419999999999998E-2</v>
      </c>
      <c r="G47" s="218">
        <f t="shared" ref="G47:G48" si="6">+D47+E47+F47</f>
        <v>9.3960000000000002E-2</v>
      </c>
      <c r="H47" s="13"/>
      <c r="I47" s="13"/>
      <c r="J47" s="13"/>
    </row>
    <row r="48" spans="1:10" ht="15.75">
      <c r="A48" s="216" t="str">
        <f>+A22</f>
        <v>Damodaran Implied ERP Ex Ante   Norm. Earnings &amp; Payout (3)</v>
      </c>
      <c r="B48" s="230">
        <f t="shared" ref="B48:C48" si="7">+B22</f>
        <v>4.8300000000000003E-2</v>
      </c>
      <c r="C48" s="226">
        <f t="shared" si="7"/>
        <v>0.9</v>
      </c>
      <c r="D48" s="217">
        <f t="shared" si="4"/>
        <v>3.26025E-2</v>
      </c>
      <c r="E48" s="230">
        <f t="shared" si="5"/>
        <v>1.2075000000000001E-2</v>
      </c>
      <c r="F48" s="217">
        <f>+E22</f>
        <v>4.1419999999999998E-2</v>
      </c>
      <c r="G48" s="218">
        <f t="shared" si="6"/>
        <v>8.6097499999999993E-2</v>
      </c>
      <c r="H48" s="13"/>
      <c r="I48" s="13"/>
      <c r="J48" s="13"/>
    </row>
    <row r="49" spans="1:10" ht="15.75">
      <c r="A49" s="216" t="s">
        <v>0</v>
      </c>
      <c r="B49" s="230" t="s">
        <v>0</v>
      </c>
      <c r="C49" s="217" t="s">
        <v>0</v>
      </c>
      <c r="D49" s="217" t="s">
        <v>0</v>
      </c>
      <c r="E49" s="230" t="s">
        <v>0</v>
      </c>
      <c r="F49" s="217" t="s">
        <v>0</v>
      </c>
      <c r="G49" s="218" t="s">
        <v>0</v>
      </c>
      <c r="H49" s="13"/>
      <c r="I49" s="13"/>
      <c r="J49" s="13"/>
    </row>
    <row r="50" spans="1:10" ht="15.75">
      <c r="A50" s="216" t="s">
        <v>260</v>
      </c>
      <c r="B50" s="230">
        <f>+B24</f>
        <v>4.6199999999999998E-2</v>
      </c>
      <c r="C50" s="226">
        <f>+C24</f>
        <v>0.9</v>
      </c>
      <c r="D50" s="217">
        <f>+B50*C50*0.75</f>
        <v>3.1184999999999997E-2</v>
      </c>
      <c r="E50" s="230">
        <f>+B50*0.25</f>
        <v>1.155E-2</v>
      </c>
      <c r="F50" s="217">
        <f>+E24</f>
        <v>4.1419999999999998E-2</v>
      </c>
      <c r="G50" s="218">
        <f>+D50+E50+F50</f>
        <v>8.4154999999999994E-2</v>
      </c>
    </row>
    <row r="51" spans="1:10" ht="15.75">
      <c r="A51" s="216" t="s">
        <v>0</v>
      </c>
      <c r="B51" s="230" t="s">
        <v>0</v>
      </c>
      <c r="C51" s="217" t="s">
        <v>0</v>
      </c>
      <c r="D51" s="217" t="s">
        <v>0</v>
      </c>
      <c r="E51" s="230" t="s">
        <v>0</v>
      </c>
      <c r="F51" s="217" t="s">
        <v>0</v>
      </c>
      <c r="G51" s="218" t="s">
        <v>0</v>
      </c>
    </row>
    <row r="52" spans="1:10" ht="15.75">
      <c r="A52" s="216" t="s">
        <v>505</v>
      </c>
      <c r="B52" s="230">
        <f>+B26</f>
        <v>5.6000000000000001E-2</v>
      </c>
      <c r="C52" s="226">
        <f>+C26</f>
        <v>0.9</v>
      </c>
      <c r="D52" s="217">
        <f>+B52*C52*0.75</f>
        <v>3.78E-2</v>
      </c>
      <c r="E52" s="230">
        <f>+B52*0.25</f>
        <v>1.4E-2</v>
      </c>
      <c r="F52" s="217">
        <f>+E26</f>
        <v>4.1419999999999998E-2</v>
      </c>
      <c r="G52" s="218">
        <f>+D52+E52+F52</f>
        <v>9.3219999999999997E-2</v>
      </c>
    </row>
    <row r="53" spans="1:10" ht="15.75">
      <c r="A53" s="216" t="s">
        <v>0</v>
      </c>
      <c r="B53" s="230" t="s">
        <v>0</v>
      </c>
      <c r="C53" s="217" t="s">
        <v>0</v>
      </c>
      <c r="D53" s="217" t="s">
        <v>0</v>
      </c>
      <c r="E53" s="230" t="s">
        <v>0</v>
      </c>
      <c r="F53" s="217" t="s">
        <v>0</v>
      </c>
      <c r="G53" s="218" t="s">
        <v>0</v>
      </c>
    </row>
    <row r="54" spans="1:10" ht="15.75">
      <c r="A54" s="216" t="s">
        <v>261</v>
      </c>
      <c r="B54" s="230">
        <f>+B28</f>
        <v>6.2799999999999995E-2</v>
      </c>
      <c r="C54" s="226">
        <f>+C28</f>
        <v>0.9</v>
      </c>
      <c r="D54" s="217">
        <f>+B54*C54*0.75</f>
        <v>4.2389999999999997E-2</v>
      </c>
      <c r="E54" s="230">
        <f>+B54*0.25</f>
        <v>1.5699999999999999E-2</v>
      </c>
      <c r="F54" s="217">
        <f>+E28</f>
        <v>4.1419999999999998E-2</v>
      </c>
      <c r="G54" s="218">
        <f>+D54+E54+F54</f>
        <v>9.9509999999999987E-2</v>
      </c>
    </row>
    <row r="55" spans="1:10" ht="15.75">
      <c r="A55" s="216" t="s">
        <v>262</v>
      </c>
      <c r="B55" s="230">
        <f>+B29</f>
        <v>5.0099999999999999E-2</v>
      </c>
      <c r="C55" s="226">
        <f>+C29</f>
        <v>0.9</v>
      </c>
      <c r="D55" s="217">
        <f>+B55*C55*0.75</f>
        <v>3.38175E-2</v>
      </c>
      <c r="E55" s="230">
        <f>+B55*0.25</f>
        <v>1.2525E-2</v>
      </c>
      <c r="F55" s="217">
        <f>+E29</f>
        <v>4.1419999999999998E-2</v>
      </c>
      <c r="G55" s="218">
        <f>+D55+E55+F55</f>
        <v>8.7762499999999993E-2</v>
      </c>
    </row>
    <row r="56" spans="1:10" ht="15.75">
      <c r="A56" s="216"/>
      <c r="B56" s="230"/>
      <c r="C56" s="226"/>
      <c r="D56" s="217"/>
      <c r="E56" s="230"/>
      <c r="F56" s="217"/>
      <c r="G56" s="218"/>
    </row>
    <row r="57" spans="1:10" ht="15.75">
      <c r="A57" s="216" t="str">
        <f t="shared" ref="A57:A59" si="8">+A31</f>
        <v>KROLL Ex Post  - ERP Historical (8)</v>
      </c>
      <c r="B57" s="230">
        <f>+B31</f>
        <v>7.17E-2</v>
      </c>
      <c r="C57" s="226">
        <f>+C31</f>
        <v>0.9</v>
      </c>
      <c r="D57" s="217">
        <f>+B57*C57*0.75</f>
        <v>4.8397500000000003E-2</v>
      </c>
      <c r="E57" s="230">
        <f>+B57*0.25</f>
        <v>1.7925E-2</v>
      </c>
      <c r="F57" s="217">
        <f>+E31</f>
        <v>4.1419999999999998E-2</v>
      </c>
      <c r="G57" s="218">
        <f>+D57+E57+F57</f>
        <v>0.1077425</v>
      </c>
    </row>
    <row r="58" spans="1:10" ht="15.75">
      <c r="A58" s="216" t="str">
        <f t="shared" si="8"/>
        <v>KROLL Ex Post - ERP Supply Side (8)</v>
      </c>
      <c r="B58" s="230">
        <f>+B32</f>
        <v>6.3500000000000001E-2</v>
      </c>
      <c r="C58" s="226">
        <f>+C32</f>
        <v>0.9</v>
      </c>
      <c r="D58" s="217">
        <f>+B58*C58*0.75</f>
        <v>4.2862499999999998E-2</v>
      </c>
      <c r="E58" s="230">
        <f>+B58*0.25</f>
        <v>1.5875E-2</v>
      </c>
      <c r="F58" s="217">
        <f>+E32</f>
        <v>4.1419999999999998E-2</v>
      </c>
      <c r="G58" s="218">
        <f>+D58+E58+F58</f>
        <v>0.1001575</v>
      </c>
    </row>
    <row r="59" spans="1:10" ht="15.75">
      <c r="A59" s="216" t="str">
        <f t="shared" si="8"/>
        <v>KROLL Ex Ante - ERP Conditional (8)</v>
      </c>
      <c r="B59" s="230">
        <f>+B33</f>
        <v>0.06</v>
      </c>
      <c r="C59" s="226">
        <f>+C29</f>
        <v>0.9</v>
      </c>
      <c r="D59" s="217">
        <f>+B59*C59*0.75</f>
        <v>4.0500000000000001E-2</v>
      </c>
      <c r="E59" s="230">
        <f>+B59*0.25</f>
        <v>1.4999999999999999E-2</v>
      </c>
      <c r="F59" s="217">
        <f>+E33</f>
        <v>4.1419999999999998E-2</v>
      </c>
      <c r="G59" s="218">
        <f>+D59+E59+F59</f>
        <v>9.6920000000000006E-2</v>
      </c>
    </row>
    <row r="60" spans="1:10" ht="15.75">
      <c r="A60" s="216"/>
      <c r="B60" s="230"/>
      <c r="C60" s="226"/>
      <c r="D60" s="217"/>
      <c r="E60" s="230"/>
      <c r="F60" s="217"/>
      <c r="G60" s="218"/>
    </row>
    <row r="61" spans="1:10" ht="15.75">
      <c r="A61" s="216" t="s">
        <v>473</v>
      </c>
      <c r="B61" s="230">
        <f>+B35</f>
        <v>0.06</v>
      </c>
      <c r="C61" s="226">
        <f>+C33</f>
        <v>0.9</v>
      </c>
      <c r="D61" s="217">
        <f>+B61*C61*0.75</f>
        <v>4.0500000000000001E-2</v>
      </c>
      <c r="E61" s="230">
        <f>+B61*0.25</f>
        <v>1.4999999999999999E-2</v>
      </c>
      <c r="F61" s="217">
        <f>+E35</f>
        <v>4.1419999999999998E-2</v>
      </c>
      <c r="G61" s="218">
        <f>+D61+E61+F61</f>
        <v>9.6920000000000006E-2</v>
      </c>
    </row>
    <row r="62" spans="1:10" ht="15.75" thickBot="1">
      <c r="A62" s="411"/>
      <c r="B62" s="167"/>
      <c r="C62" s="167"/>
      <c r="D62" s="167"/>
      <c r="E62" s="167"/>
      <c r="F62" s="167"/>
      <c r="G62" s="412"/>
    </row>
    <row r="64" spans="1:10" ht="15.75">
      <c r="A64" s="65" t="s">
        <v>107</v>
      </c>
      <c r="E64" s="229" t="s">
        <v>0</v>
      </c>
    </row>
    <row r="65" spans="1:7">
      <c r="A65" s="177" t="s">
        <v>0</v>
      </c>
      <c r="E65" s="229" t="s">
        <v>0</v>
      </c>
    </row>
    <row r="66" spans="1:7">
      <c r="A66" s="45" t="s">
        <v>474</v>
      </c>
      <c r="B66" s="13"/>
      <c r="C66" s="13"/>
      <c r="D66" s="13"/>
      <c r="E66" s="13"/>
      <c r="F66" s="13"/>
      <c r="G66" s="13"/>
    </row>
    <row r="67" spans="1:7">
      <c r="A67" s="45" t="s">
        <v>0</v>
      </c>
      <c r="B67" s="13"/>
      <c r="C67" s="13"/>
      <c r="D67" s="13"/>
      <c r="E67" s="13"/>
      <c r="F67" s="13"/>
      <c r="G67" s="13"/>
    </row>
    <row r="68" spans="1:7">
      <c r="A68" s="45" t="s">
        <v>475</v>
      </c>
      <c r="B68" s="13"/>
      <c r="C68" s="13"/>
      <c r="D68" s="13"/>
      <c r="E68" s="13"/>
      <c r="F68" s="13"/>
      <c r="G68" s="13"/>
    </row>
    <row r="69" spans="1:7">
      <c r="A69" s="164" t="s">
        <v>476</v>
      </c>
      <c r="C69" s="13"/>
      <c r="D69" s="13"/>
      <c r="E69" s="13"/>
      <c r="F69" s="13"/>
      <c r="G69" s="13"/>
    </row>
    <row r="70" spans="1:7">
      <c r="A70" s="45" t="s">
        <v>0</v>
      </c>
      <c r="B70" s="13"/>
      <c r="C70" s="13"/>
      <c r="D70" s="13"/>
      <c r="E70" s="13"/>
      <c r="F70" s="13"/>
      <c r="G70" s="13"/>
    </row>
    <row r="71" spans="1:7">
      <c r="A71" s="45" t="s">
        <v>507</v>
      </c>
      <c r="B71" s="13"/>
      <c r="C71" s="13"/>
      <c r="D71" s="13"/>
      <c r="E71" s="13"/>
      <c r="F71" s="13"/>
      <c r="G71" s="13"/>
    </row>
    <row r="72" spans="1:7">
      <c r="A72" s="164" t="s">
        <v>477</v>
      </c>
      <c r="B72" s="13"/>
      <c r="C72" s="13"/>
      <c r="D72" s="13"/>
      <c r="E72" s="13"/>
      <c r="F72" s="13"/>
      <c r="G72" s="13"/>
    </row>
    <row r="73" spans="1:7">
      <c r="A73" s="45"/>
      <c r="B73" s="13"/>
      <c r="C73" s="13"/>
      <c r="D73" s="13"/>
      <c r="E73" s="13"/>
      <c r="F73" s="13"/>
      <c r="G73" s="13"/>
    </row>
    <row r="74" spans="1:7">
      <c r="A74" s="45" t="s">
        <v>506</v>
      </c>
      <c r="B74" s="13"/>
      <c r="C74" s="13"/>
      <c r="D74" s="13"/>
      <c r="E74" s="13"/>
      <c r="F74" s="13"/>
      <c r="G74" s="13"/>
    </row>
    <row r="75" spans="1:7">
      <c r="A75" s="164" t="s">
        <v>478</v>
      </c>
      <c r="B75" s="13"/>
      <c r="C75" s="13"/>
      <c r="D75" s="13"/>
      <c r="E75" s="13"/>
      <c r="F75" s="13"/>
      <c r="G75" s="13"/>
    </row>
    <row r="76" spans="1:7">
      <c r="A76" s="45"/>
      <c r="B76" s="13"/>
      <c r="C76" s="13"/>
      <c r="D76" s="13"/>
      <c r="E76" s="13"/>
      <c r="F76" s="13"/>
      <c r="G76" s="13"/>
    </row>
    <row r="77" spans="1:7">
      <c r="A77" s="45" t="s">
        <v>503</v>
      </c>
      <c r="B77" s="13"/>
      <c r="C77" s="13"/>
      <c r="D77" s="13"/>
      <c r="E77" s="13"/>
      <c r="F77" s="13"/>
      <c r="G77" s="13"/>
    </row>
    <row r="78" spans="1:7">
      <c r="A78" s="164" t="s">
        <v>479</v>
      </c>
      <c r="B78" s="13"/>
      <c r="C78" s="13"/>
      <c r="D78" s="13"/>
      <c r="E78" s="13"/>
      <c r="F78" s="13"/>
      <c r="G78" s="13"/>
    </row>
    <row r="79" spans="1:7">
      <c r="A79" s="177"/>
    </row>
    <row r="80" spans="1:7">
      <c r="A80" s="45" t="s">
        <v>465</v>
      </c>
    </row>
    <row r="81" spans="1:7">
      <c r="A81" s="45" t="s">
        <v>0</v>
      </c>
    </row>
    <row r="82" spans="1:7">
      <c r="A82" s="45" t="s">
        <v>480</v>
      </c>
    </row>
    <row r="83" spans="1:7">
      <c r="A83" s="164" t="s">
        <v>481</v>
      </c>
    </row>
    <row r="84" spans="1:7" ht="18.75" thickBot="1">
      <c r="A84" s="168"/>
      <c r="B84" s="168"/>
      <c r="C84" s="168"/>
      <c r="D84" s="30"/>
      <c r="E84" s="38"/>
      <c r="F84" s="30"/>
      <c r="G84" s="167"/>
    </row>
  </sheetData>
  <hyperlinks>
    <hyperlink ref="A83" r:id="rId1" xr:uid="{B6486741-FAD2-43A1-99F1-AB26882C6430}"/>
    <hyperlink ref="A75" r:id="rId2" xr:uid="{F1C9D14B-14AF-430B-908D-F061E83095B9}"/>
    <hyperlink ref="A78" r:id="rId3" xr:uid="{A0BF0835-32E4-4356-BD48-C759123EF040}"/>
    <hyperlink ref="A72" r:id="rId4" xr:uid="{367B4159-5026-4D51-96DE-312EDFF96D78}"/>
    <hyperlink ref="A69" r:id="rId5" xr:uid="{37D90BDA-2962-41C4-B98F-E9A6C6C2E135}"/>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55"/>
  <sheetViews>
    <sheetView view="pageBreakPreview" zoomScale="70" zoomScaleNormal="80" zoomScaleSheetLayoutView="70" workbookViewId="0">
      <selection activeCell="I41" sqref="I41"/>
    </sheetView>
  </sheetViews>
  <sheetFormatPr defaultRowHeight="15"/>
  <cols>
    <col min="1" max="1" width="45.140625" customWidth="1"/>
    <col min="2" max="2" width="10.85546875" bestFit="1" customWidth="1"/>
    <col min="3" max="3" width="23.5703125"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5" t="s">
        <v>1</v>
      </c>
      <c r="B1" s="13"/>
      <c r="C1" s="13"/>
      <c r="D1" s="13"/>
      <c r="E1" s="13"/>
      <c r="F1" s="13"/>
      <c r="G1" s="13"/>
      <c r="H1" s="13"/>
      <c r="I1" s="13"/>
      <c r="J1" s="13"/>
      <c r="K1" s="13"/>
    </row>
    <row r="2" spans="1:11" ht="15.75">
      <c r="A2" s="26" t="s">
        <v>9</v>
      </c>
      <c r="B2" s="13"/>
      <c r="C2" s="13"/>
      <c r="D2" s="13"/>
      <c r="E2" s="13"/>
      <c r="F2" s="13"/>
      <c r="G2" s="13"/>
      <c r="H2" s="13"/>
      <c r="I2" s="13"/>
      <c r="J2" s="13"/>
      <c r="K2" s="13"/>
    </row>
    <row r="3" spans="1:11">
      <c r="A3" s="27" t="s">
        <v>97</v>
      </c>
      <c r="B3" s="13"/>
      <c r="C3" s="13"/>
      <c r="D3" s="13"/>
      <c r="E3" s="13"/>
      <c r="F3" s="13"/>
      <c r="G3" s="13"/>
      <c r="H3" s="13"/>
      <c r="I3" s="13"/>
      <c r="J3" s="13"/>
      <c r="K3" s="13"/>
    </row>
    <row r="4" spans="1:11">
      <c r="A4" s="27"/>
      <c r="B4" s="13"/>
      <c r="C4" s="13"/>
      <c r="D4" s="13"/>
      <c r="E4" s="13"/>
      <c r="F4" s="13"/>
      <c r="G4" s="13"/>
      <c r="H4" s="13"/>
      <c r="I4" s="13"/>
      <c r="J4" s="13"/>
      <c r="K4" s="13"/>
    </row>
    <row r="5" spans="1:11" ht="15.75" thickBot="1">
      <c r="A5" s="13"/>
      <c r="B5" s="13"/>
      <c r="C5" s="13"/>
      <c r="D5" s="13"/>
      <c r="E5" s="13"/>
      <c r="F5" s="13"/>
      <c r="G5" s="13"/>
      <c r="H5" s="28"/>
      <c r="I5" s="13"/>
      <c r="J5" s="13"/>
      <c r="K5" s="13"/>
    </row>
    <row r="6" spans="1:11" ht="16.5" thickBot="1">
      <c r="A6" s="289" t="str">
        <f>+'S&amp;D'!A12</f>
        <v>Electric Utilities</v>
      </c>
      <c r="B6" s="215"/>
      <c r="C6" s="13"/>
      <c r="D6" s="30"/>
      <c r="E6" s="30"/>
      <c r="F6" s="30"/>
      <c r="G6" s="31" t="s">
        <v>0</v>
      </c>
      <c r="H6" s="30"/>
      <c r="I6" s="13"/>
      <c r="J6" s="13"/>
      <c r="K6" s="13"/>
    </row>
    <row r="7" spans="1:11" ht="20.25">
      <c r="A7" s="32"/>
      <c r="B7" s="13"/>
      <c r="C7" s="13"/>
      <c r="D7" s="13"/>
      <c r="E7" s="13"/>
      <c r="F7" s="33" t="s">
        <v>458</v>
      </c>
      <c r="G7" s="13"/>
      <c r="H7" s="13"/>
      <c r="I7" s="13"/>
      <c r="J7" s="13"/>
      <c r="K7" s="13"/>
    </row>
    <row r="8" spans="1:11" ht="18.75" thickBot="1">
      <c r="A8" s="32"/>
      <c r="B8" s="13"/>
      <c r="C8" s="13"/>
      <c r="D8" s="30"/>
      <c r="E8" s="30"/>
      <c r="F8" s="34" t="s">
        <v>111</v>
      </c>
      <c r="G8" s="30"/>
      <c r="H8" s="30"/>
      <c r="I8" s="13"/>
      <c r="J8" s="13"/>
      <c r="K8" s="13"/>
    </row>
    <row r="9" spans="1:11" ht="15.75" thickBot="1">
      <c r="A9" s="35" t="s">
        <v>0</v>
      </c>
      <c r="B9" s="35" t="s">
        <v>0</v>
      </c>
      <c r="C9" s="35" t="s">
        <v>0</v>
      </c>
      <c r="D9" s="30"/>
      <c r="E9" s="35"/>
      <c r="F9" s="35" t="s">
        <v>0</v>
      </c>
      <c r="G9" s="35"/>
      <c r="H9" s="30"/>
      <c r="I9" s="30"/>
      <c r="J9" s="30"/>
      <c r="K9" s="13"/>
    </row>
    <row r="10" spans="1:11">
      <c r="A10" s="36" t="s">
        <v>0</v>
      </c>
      <c r="B10" s="36" t="s">
        <v>3</v>
      </c>
      <c r="C10" s="36" t="s">
        <v>5</v>
      </c>
      <c r="D10" s="36" t="s">
        <v>204</v>
      </c>
      <c r="E10" s="36" t="s">
        <v>12</v>
      </c>
      <c r="F10" s="36" t="s">
        <v>216</v>
      </c>
      <c r="G10" s="36" t="s">
        <v>217</v>
      </c>
      <c r="H10" s="36" t="s">
        <v>217</v>
      </c>
      <c r="I10" s="36" t="s">
        <v>213</v>
      </c>
      <c r="J10" s="36" t="s">
        <v>213</v>
      </c>
      <c r="K10" s="13"/>
    </row>
    <row r="11" spans="1:11">
      <c r="A11" s="36" t="s">
        <v>2</v>
      </c>
      <c r="B11" s="36" t="s">
        <v>4</v>
      </c>
      <c r="C11" s="36" t="s">
        <v>6</v>
      </c>
      <c r="D11" s="36" t="s">
        <v>245</v>
      </c>
      <c r="E11" s="36" t="s">
        <v>14</v>
      </c>
      <c r="F11" s="36" t="s">
        <v>452</v>
      </c>
      <c r="G11" s="36" t="s">
        <v>246</v>
      </c>
      <c r="H11" s="36" t="s">
        <v>247</v>
      </c>
      <c r="I11" s="36" t="s">
        <v>207</v>
      </c>
      <c r="J11" s="36" t="s">
        <v>211</v>
      </c>
      <c r="K11" s="13"/>
    </row>
    <row r="12" spans="1:11">
      <c r="A12" s="36"/>
      <c r="B12" s="36"/>
      <c r="C12" s="36"/>
      <c r="D12" s="36"/>
      <c r="E12" s="36"/>
      <c r="F12" s="37" t="s">
        <v>0</v>
      </c>
      <c r="G12" s="37" t="s">
        <v>453</v>
      </c>
      <c r="H12" s="37" t="s">
        <v>453</v>
      </c>
      <c r="I12" s="36"/>
      <c r="J12" s="36"/>
      <c r="K12" s="13"/>
    </row>
    <row r="13" spans="1:11" ht="15.75" thickBot="1">
      <c r="A13" s="38" t="s">
        <v>0</v>
      </c>
      <c r="B13" s="39" t="s">
        <v>126</v>
      </c>
      <c r="C13" s="39" t="s">
        <v>127</v>
      </c>
      <c r="D13" s="39" t="s">
        <v>128</v>
      </c>
      <c r="E13" s="39" t="s">
        <v>129</v>
      </c>
      <c r="F13" s="39" t="s">
        <v>130</v>
      </c>
      <c r="G13" s="39" t="s">
        <v>131</v>
      </c>
      <c r="H13" s="39" t="s">
        <v>132</v>
      </c>
      <c r="I13" s="39" t="s">
        <v>214</v>
      </c>
      <c r="J13" s="39" t="s">
        <v>215</v>
      </c>
      <c r="K13" s="13"/>
    </row>
    <row r="14" spans="1:11">
      <c r="A14" s="40" t="s">
        <v>7</v>
      </c>
      <c r="B14" s="40" t="s">
        <v>7</v>
      </c>
      <c r="C14" s="40" t="s">
        <v>7</v>
      </c>
      <c r="D14" s="41" t="s">
        <v>150</v>
      </c>
      <c r="E14" s="41"/>
      <c r="F14" s="40" t="s">
        <v>7</v>
      </c>
      <c r="G14" s="40" t="s">
        <v>7</v>
      </c>
      <c r="H14" s="40" t="s">
        <v>7</v>
      </c>
      <c r="I14" s="40" t="s">
        <v>0</v>
      </c>
      <c r="J14" s="40" t="s">
        <v>0</v>
      </c>
      <c r="K14" s="13"/>
    </row>
    <row r="15" spans="1:11">
      <c r="A15" s="36"/>
      <c r="B15" s="36"/>
      <c r="C15" s="36"/>
      <c r="D15" s="36"/>
      <c r="E15" s="36"/>
      <c r="F15" s="36"/>
      <c r="G15" s="36"/>
      <c r="H15" s="13"/>
      <c r="I15" s="13"/>
      <c r="J15" s="13"/>
      <c r="K15" s="13"/>
    </row>
    <row r="16" spans="1:11">
      <c r="A16" s="13"/>
      <c r="B16" s="13"/>
      <c r="C16" s="13"/>
      <c r="D16" s="13"/>
      <c r="E16" s="13"/>
      <c r="F16" s="13"/>
      <c r="G16" s="13"/>
      <c r="H16" s="13"/>
      <c r="I16" s="13"/>
      <c r="J16" s="13"/>
      <c r="K16" s="13"/>
    </row>
    <row r="17" spans="1:11" ht="15.75">
      <c r="A17" s="45" t="str">
        <f>+'S&amp;D'!A22</f>
        <v>ALLETE Inc</v>
      </c>
      <c r="B17" s="36" t="str">
        <f>+'S&amp;D'!B22</f>
        <v>ALE</v>
      </c>
      <c r="C17" s="36" t="str">
        <f>+'S&amp;D'!C22</f>
        <v>Electric Utility - Cent</v>
      </c>
      <c r="D17" s="62">
        <f>+'S&amp;D'!G22</f>
        <v>64.510000000000005</v>
      </c>
      <c r="E17" s="63">
        <f>+'S&amp;D'!D47</f>
        <v>3689972000.0000005</v>
      </c>
      <c r="F17" s="56">
        <f>+'Dividends '!H16</f>
        <v>4.2008990854131137E-2</v>
      </c>
      <c r="G17" s="56">
        <v>3.5000000000000003E-2</v>
      </c>
      <c r="H17" s="56">
        <v>0.06</v>
      </c>
      <c r="I17" s="377">
        <f>+F17+G17</f>
        <v>7.700899085413114E-2</v>
      </c>
      <c r="J17" s="377">
        <f>+F17+H17</f>
        <v>0.10200899085413113</v>
      </c>
      <c r="K17" s="13"/>
    </row>
    <row r="18" spans="1:11" ht="15.75">
      <c r="A18" s="45" t="str">
        <f>+'S&amp;D'!A23</f>
        <v>Alliant Energy</v>
      </c>
      <c r="B18" s="36" t="str">
        <f>+'S&amp;D'!B23</f>
        <v>LNT</v>
      </c>
      <c r="C18" s="36" t="str">
        <f>+'S&amp;D'!C23</f>
        <v>Electric Utility - Cent</v>
      </c>
      <c r="D18" s="62">
        <f>+'S&amp;D'!G23</f>
        <v>55.21</v>
      </c>
      <c r="E18" s="63">
        <f>+'S&amp;D'!D48</f>
        <v>13865161472.860001</v>
      </c>
      <c r="F18" s="56">
        <f>+'Dividends '!H17</f>
        <v>3.278391595725412E-2</v>
      </c>
      <c r="G18" s="56">
        <v>0.06</v>
      </c>
      <c r="H18" s="56">
        <v>6.5000000000000002E-2</v>
      </c>
      <c r="I18" s="377">
        <f t="shared" ref="I18:I32" si="0">+F18+G18</f>
        <v>9.2783915957254118E-2</v>
      </c>
      <c r="J18" s="377">
        <f t="shared" ref="J18:J32" si="1">+F18+H18</f>
        <v>9.7783915957254122E-2</v>
      </c>
      <c r="K18" s="13"/>
    </row>
    <row r="19" spans="1:11" ht="15.75">
      <c r="A19" s="45" t="str">
        <f>+'S&amp;D'!A24</f>
        <v>AMEREN Corporation</v>
      </c>
      <c r="B19" s="36" t="str">
        <f>+'S&amp;D'!B24</f>
        <v>AEE</v>
      </c>
      <c r="C19" s="36" t="str">
        <f>+'S&amp;D'!C24</f>
        <v>Electric Utility - Cent</v>
      </c>
      <c r="D19" s="62">
        <f>+'S&amp;D'!G24</f>
        <v>88.92</v>
      </c>
      <c r="E19" s="63">
        <f>+'S&amp;D'!D49</f>
        <v>23297040000</v>
      </c>
      <c r="F19" s="56">
        <f>+'Dividends '!H18</f>
        <v>2.8340080971659919E-2</v>
      </c>
      <c r="G19" s="56">
        <v>6.5000000000000002E-2</v>
      </c>
      <c r="H19" s="56">
        <v>6.5000000000000002E-2</v>
      </c>
      <c r="I19" s="377">
        <f t="shared" si="0"/>
        <v>9.3340080971659925E-2</v>
      </c>
      <c r="J19" s="377">
        <f t="shared" si="1"/>
        <v>9.3340080971659925E-2</v>
      </c>
      <c r="K19" s="13"/>
    </row>
    <row r="20" spans="1:11" ht="15.75">
      <c r="A20" s="45" t="str">
        <f>+'S&amp;D'!A25</f>
        <v>American Electric Power</v>
      </c>
      <c r="B20" s="36" t="str">
        <f>+'S&amp;D'!B25</f>
        <v>AEP</v>
      </c>
      <c r="C20" s="36" t="str">
        <f>+'S&amp;D'!C25</f>
        <v>Electric Utility - Cent</v>
      </c>
      <c r="D20" s="62">
        <f>+'S&amp;D'!G25</f>
        <v>94.95</v>
      </c>
      <c r="E20" s="63">
        <f>+'S&amp;D'!D50</f>
        <v>48791584390.950005</v>
      </c>
      <c r="F20" s="56">
        <f>+'Dividends '!H19</f>
        <v>3.5281727224855189E-2</v>
      </c>
      <c r="G20" s="56">
        <v>5.5E-2</v>
      </c>
      <c r="H20" s="56">
        <v>0.06</v>
      </c>
      <c r="I20" s="377">
        <f t="shared" si="0"/>
        <v>9.0281727224855196E-2</v>
      </c>
      <c r="J20" s="377">
        <f t="shared" si="1"/>
        <v>9.5281727224855187E-2</v>
      </c>
      <c r="K20" s="13"/>
    </row>
    <row r="21" spans="1:11" ht="15.75">
      <c r="A21" s="45" t="str">
        <f>+'S&amp;D'!A26</f>
        <v>Centerpoint Energy</v>
      </c>
      <c r="B21" s="36" t="str">
        <f>+'S&amp;D'!B26</f>
        <v>CNP</v>
      </c>
      <c r="C21" s="36" t="str">
        <f>+'S&amp;D'!C26</f>
        <v>Electric Utility - Cent</v>
      </c>
      <c r="D21" s="62">
        <f>+'S&amp;D'!G26</f>
        <v>29.99</v>
      </c>
      <c r="E21" s="63">
        <f>+'S&amp;D'!D51</f>
        <v>18879773573.689999</v>
      </c>
      <c r="F21" s="56">
        <f>+'Dividends '!H20</f>
        <v>2.567522507502501E-2</v>
      </c>
      <c r="G21" s="56">
        <v>2.5000000000000001E-2</v>
      </c>
      <c r="H21" s="56">
        <v>0.06</v>
      </c>
      <c r="I21" s="377">
        <f>+F21+G21</f>
        <v>5.0675225075025011E-2</v>
      </c>
      <c r="J21" s="377">
        <f>+F21+H21</f>
        <v>8.5675225075025008E-2</v>
      </c>
      <c r="K21" s="13"/>
    </row>
    <row r="22" spans="1:11" ht="15.75">
      <c r="A22" s="45" t="str">
        <f>+'S&amp;D'!A27</f>
        <v>CMS Energy</v>
      </c>
      <c r="B22" s="36" t="str">
        <f>+'S&amp;D'!B27</f>
        <v>CMS</v>
      </c>
      <c r="C22" s="36" t="str">
        <f>+'S&amp;D'!C27</f>
        <v>Electric Utility - Cent</v>
      </c>
      <c r="D22" s="62">
        <f>+'S&amp;D'!G27</f>
        <v>63.33</v>
      </c>
      <c r="E22" s="63">
        <f>+'S&amp;D'!D52</f>
        <v>18448029000</v>
      </c>
      <c r="F22" s="56">
        <f>+'Dividends '!H21</f>
        <v>3.0791094268119375E-2</v>
      </c>
      <c r="G22" s="56">
        <v>0.06</v>
      </c>
      <c r="H22" s="56">
        <v>6.5000000000000002E-2</v>
      </c>
      <c r="I22" s="377">
        <f t="shared" si="0"/>
        <v>9.0791094268119377E-2</v>
      </c>
      <c r="J22" s="377">
        <f t="shared" si="1"/>
        <v>9.5791094268119381E-2</v>
      </c>
      <c r="K22" s="13"/>
    </row>
    <row r="23" spans="1:11" ht="15.75">
      <c r="A23" s="45" t="str">
        <f>+'S&amp;D'!A28</f>
        <v>DTE Energy</v>
      </c>
      <c r="B23" s="36" t="str">
        <f>+'S&amp;D'!B28</f>
        <v>DTE</v>
      </c>
      <c r="C23" s="36" t="str">
        <f>+'S&amp;D'!C28</f>
        <v>Electric Utility - Cent</v>
      </c>
      <c r="D23" s="62">
        <f>+'S&amp;D'!G28</f>
        <v>117.53</v>
      </c>
      <c r="E23" s="63">
        <f>+'S&amp;D'!D53</f>
        <v>24167975149.290001</v>
      </c>
      <c r="F23" s="56">
        <f>+'Dividends '!H22</f>
        <v>3.2417255168893051E-2</v>
      </c>
      <c r="G23" s="56">
        <v>0.03</v>
      </c>
      <c r="H23" s="56">
        <v>4.4999999999999998E-2</v>
      </c>
      <c r="I23" s="377">
        <f t="shared" si="0"/>
        <v>6.241725516889305E-2</v>
      </c>
      <c r="J23" s="377">
        <f t="shared" si="1"/>
        <v>7.7417255168893057E-2</v>
      </c>
      <c r="K23" s="13"/>
    </row>
    <row r="24" spans="1:11" ht="15.75">
      <c r="A24" s="45" t="str">
        <f>+'S&amp;D'!A29</f>
        <v>Duke Energy</v>
      </c>
      <c r="B24" s="36" t="str">
        <f>+'S&amp;D'!B29</f>
        <v>DUK</v>
      </c>
      <c r="C24" s="36" t="str">
        <f>+'S&amp;D'!C29</f>
        <v>Electric Utility - East</v>
      </c>
      <c r="D24" s="62">
        <f>+'S&amp;D'!G29</f>
        <v>102.99</v>
      </c>
      <c r="E24" s="63">
        <f>+'S&amp;D'!D54</f>
        <v>79302300000</v>
      </c>
      <c r="F24" s="56">
        <f>+'Dividends '!H23</f>
        <v>3.942130303913001E-2</v>
      </c>
      <c r="G24" s="56">
        <v>0.02</v>
      </c>
      <c r="H24" s="56">
        <v>0.05</v>
      </c>
      <c r="I24" s="377">
        <f t="shared" si="0"/>
        <v>5.9421303039130013E-2</v>
      </c>
      <c r="J24" s="377">
        <f t="shared" si="1"/>
        <v>8.9421303039130012E-2</v>
      </c>
      <c r="K24" s="13"/>
    </row>
    <row r="25" spans="1:11" ht="15.75">
      <c r="A25" s="45" t="str">
        <f>+'S&amp;D'!A30</f>
        <v>Entergy Corp</v>
      </c>
      <c r="B25" s="36" t="str">
        <f>+'S&amp;D'!B30</f>
        <v>ETR</v>
      </c>
      <c r="C25" s="36" t="str">
        <f>+'S&amp;D'!C30</f>
        <v>Electric Utility - Cent</v>
      </c>
      <c r="D25" s="62">
        <f>+'S&amp;D'!G30</f>
        <v>112.5</v>
      </c>
      <c r="E25" s="63">
        <f>+'S&amp;D'!D55</f>
        <v>23757356250</v>
      </c>
      <c r="F25" s="56">
        <f>+'Dividends '!H24</f>
        <v>3.822222222222222E-2</v>
      </c>
      <c r="G25" s="56">
        <v>0.04</v>
      </c>
      <c r="H25" s="56">
        <v>5.0000000000000001E-3</v>
      </c>
      <c r="I25" s="377">
        <f t="shared" si="0"/>
        <v>7.8222222222222221E-2</v>
      </c>
      <c r="J25" s="377">
        <f t="shared" si="1"/>
        <v>4.3222222222222217E-2</v>
      </c>
      <c r="K25" s="13"/>
    </row>
    <row r="26" spans="1:11" ht="15.75">
      <c r="A26" s="45" t="str">
        <f>+'S&amp;D'!A31</f>
        <v>Evergy Inc</v>
      </c>
      <c r="B26" s="36" t="str">
        <f>+'S&amp;D'!B31</f>
        <v>EVRG</v>
      </c>
      <c r="C26" s="36" t="str">
        <f>+'S&amp;D'!C31</f>
        <v>Electric Utility - Cent</v>
      </c>
      <c r="D26" s="62">
        <f>+'S&amp;D'!G31</f>
        <v>62.93</v>
      </c>
      <c r="E26" s="63">
        <f>+'S&amp;D'!D56</f>
        <v>14445336387.65</v>
      </c>
      <c r="F26" s="56">
        <f>+'Dividends '!H25</f>
        <v>4.0203400603845536E-2</v>
      </c>
      <c r="G26" s="56">
        <v>7.0000000000000007E-2</v>
      </c>
      <c r="H26" s="56">
        <v>7.4999999999999997E-2</v>
      </c>
      <c r="I26" s="377">
        <f t="shared" ref="I26" si="2">+F26+G26</f>
        <v>0.11020340060384554</v>
      </c>
      <c r="J26" s="377">
        <f t="shared" ref="J26" si="3">+F26+H26</f>
        <v>0.11520340060384554</v>
      </c>
      <c r="K26" s="13"/>
    </row>
    <row r="27" spans="1:11" ht="15.75">
      <c r="A27" s="45" t="str">
        <f>+'S&amp;D'!A32</f>
        <v>FirstEnergy Corp</v>
      </c>
      <c r="B27" s="36" t="str">
        <f>+'S&amp;D'!B32</f>
        <v>FE</v>
      </c>
      <c r="C27" s="36" t="str">
        <f>+'S&amp;D'!C32</f>
        <v>Electric Utility - East</v>
      </c>
      <c r="D27" s="62">
        <f>+'S&amp;D'!G32</f>
        <v>41.94</v>
      </c>
      <c r="E27" s="63">
        <f>+'S&amp;D'!D57</f>
        <v>23995171288.079998</v>
      </c>
      <c r="F27" s="56">
        <f>+'Dividends '!H26</f>
        <v>3.7195994277539342E-2</v>
      </c>
      <c r="G27" s="56">
        <v>0.03</v>
      </c>
      <c r="H27" s="56">
        <v>0.03</v>
      </c>
      <c r="I27" s="377">
        <f t="shared" si="0"/>
        <v>6.7195994277539334E-2</v>
      </c>
      <c r="J27" s="377">
        <f t="shared" si="1"/>
        <v>6.7195994277539334E-2</v>
      </c>
      <c r="K27" s="13"/>
    </row>
    <row r="28" spans="1:11" ht="15.75">
      <c r="A28" s="45" t="str">
        <f>+'S&amp;D'!A33</f>
        <v>OGE Energy Corp.</v>
      </c>
      <c r="B28" s="36" t="str">
        <f>+'S&amp;D'!B33</f>
        <v>OGE</v>
      </c>
      <c r="C28" s="36" t="str">
        <f>+'S&amp;D'!C33</f>
        <v>Electric Utility - Cent</v>
      </c>
      <c r="D28" s="62">
        <f>+'S&amp;D'!G33</f>
        <v>39.549999999999997</v>
      </c>
      <c r="E28" s="63">
        <f>+'S&amp;D'!D58</f>
        <v>7917909999.999999</v>
      </c>
      <c r="F28" s="56">
        <f>+'Dividends '!H27</f>
        <v>4.2983565107458918E-2</v>
      </c>
      <c r="G28" s="56">
        <v>0.03</v>
      </c>
      <c r="H28" s="56">
        <v>6.5000000000000002E-2</v>
      </c>
      <c r="I28" s="377">
        <f t="shared" si="0"/>
        <v>7.2983565107458917E-2</v>
      </c>
      <c r="J28" s="377">
        <f t="shared" si="1"/>
        <v>0.10798356510745892</v>
      </c>
      <c r="K28" s="13"/>
    </row>
    <row r="29" spans="1:11" ht="15.75">
      <c r="A29" s="45" t="str">
        <f>+'S&amp;D'!A34</f>
        <v>Otter Tail Corp</v>
      </c>
      <c r="B29" s="36" t="str">
        <f>+'S&amp;D'!B34</f>
        <v>OTTR</v>
      </c>
      <c r="C29" s="36" t="str">
        <f>+'S&amp;D'!C34</f>
        <v>Electric Utility - Cent</v>
      </c>
      <c r="D29" s="62">
        <f>+'S&amp;D'!G34</f>
        <v>58.71</v>
      </c>
      <c r="E29" s="63">
        <f>+'S&amp;D'!D59</f>
        <v>2444162644.23</v>
      </c>
      <c r="F29" s="56">
        <f>+'Dividends '!H28</f>
        <v>2.9977857264520524E-2</v>
      </c>
      <c r="G29" s="56">
        <v>7.0000000000000007E-2</v>
      </c>
      <c r="H29" s="56">
        <v>4.4999999999999998E-2</v>
      </c>
      <c r="I29" s="377">
        <f t="shared" si="0"/>
        <v>9.9977857264520534E-2</v>
      </c>
      <c r="J29" s="377">
        <f t="shared" si="1"/>
        <v>7.4977857264520525E-2</v>
      </c>
      <c r="K29" s="13"/>
    </row>
    <row r="30" spans="1:11" ht="15.75">
      <c r="A30" s="45" t="str">
        <f>+'S&amp;D'!A35</f>
        <v>PPL Corporation</v>
      </c>
      <c r="B30" s="36" t="str">
        <f>+'S&amp;D'!B35</f>
        <v>PPL</v>
      </c>
      <c r="C30" s="36" t="str">
        <f>+'S&amp;D'!C35</f>
        <v>Electric Utility - East</v>
      </c>
      <c r="D30" s="62">
        <f>+'S&amp;D'!G35</f>
        <v>29.22</v>
      </c>
      <c r="E30" s="63">
        <f>+'S&amp;D'!D60</f>
        <v>21520150140</v>
      </c>
      <c r="F30" s="56">
        <f>+'Dividends '!H29</f>
        <v>3.2854209445585217E-2</v>
      </c>
      <c r="G30" s="56">
        <v>-0.04</v>
      </c>
      <c r="H30" s="56">
        <v>3.5000000000000003E-2</v>
      </c>
      <c r="I30" s="377">
        <f t="shared" ref="I30" si="4">+F30+G30</f>
        <v>-7.145790554414784E-3</v>
      </c>
      <c r="J30" s="377">
        <f t="shared" ref="J30" si="5">+F30+H30</f>
        <v>6.785420944558522E-2</v>
      </c>
      <c r="K30" s="13"/>
    </row>
    <row r="31" spans="1:11" ht="15.75">
      <c r="A31" s="45" t="str">
        <f>+'S&amp;D'!A36</f>
        <v>The Southern Company</v>
      </c>
      <c r="B31" s="36" t="str">
        <f>+'S&amp;D'!B36</f>
        <v>SO</v>
      </c>
      <c r="C31" s="36" t="str">
        <f>+'S&amp;D'!C36</f>
        <v>Electric Utility - East</v>
      </c>
      <c r="D31" s="62">
        <f>+'S&amp;D'!G36</f>
        <v>71.41</v>
      </c>
      <c r="E31" s="63">
        <f>+'S&amp;D'!D61</f>
        <v>78479590000</v>
      </c>
      <c r="F31" s="56">
        <f>+'Dividends '!H30</f>
        <v>3.8930121831676233E-2</v>
      </c>
      <c r="G31" s="56">
        <v>3.5000000000000003E-2</v>
      </c>
      <c r="H31" s="56">
        <v>6.5000000000000002E-2</v>
      </c>
      <c r="I31" s="377">
        <f t="shared" si="0"/>
        <v>7.3930121831676243E-2</v>
      </c>
      <c r="J31" s="377">
        <f t="shared" si="1"/>
        <v>0.10393012183167624</v>
      </c>
      <c r="K31" s="13"/>
    </row>
    <row r="32" spans="1:11" ht="16.5" thickBot="1">
      <c r="A32" s="45" t="str">
        <f>+'S&amp;D'!A37</f>
        <v>WEC Energy Group</v>
      </c>
      <c r="B32" s="36" t="str">
        <f>+'S&amp;D'!B37</f>
        <v>WEC</v>
      </c>
      <c r="C32" s="36" t="str">
        <f>+'S&amp;D'!C37</f>
        <v>Electric Utility - Cent</v>
      </c>
      <c r="D32" s="62">
        <f>+'S&amp;D'!G37</f>
        <v>93.76</v>
      </c>
      <c r="E32" s="63">
        <f>+'S&amp;D'!D62</f>
        <v>29575141626.560001</v>
      </c>
      <c r="F32" s="378">
        <f>+'Dividends '!H31</f>
        <v>3.3276450511945395E-2</v>
      </c>
      <c r="G32" s="378">
        <v>7.0000000000000007E-2</v>
      </c>
      <c r="H32" s="378">
        <v>0.06</v>
      </c>
      <c r="I32" s="379">
        <f t="shared" si="0"/>
        <v>0.10327645051194539</v>
      </c>
      <c r="J32" s="379">
        <f t="shared" si="1"/>
        <v>9.3276450511945386E-2</v>
      </c>
      <c r="K32" s="13"/>
    </row>
    <row r="33" spans="1:11" ht="15.75" thickTop="1">
      <c r="A33" s="13"/>
      <c r="B33" s="13"/>
      <c r="C33" s="15" t="s">
        <v>0</v>
      </c>
      <c r="D33" s="16" t="s">
        <v>0</v>
      </c>
      <c r="E33" s="16" t="s">
        <v>65</v>
      </c>
      <c r="F33" s="17">
        <v>4.2</v>
      </c>
      <c r="G33" s="326">
        <v>7</v>
      </c>
      <c r="H33" s="17">
        <v>7.5</v>
      </c>
      <c r="I33" s="17">
        <v>11.02</v>
      </c>
      <c r="J33" s="17">
        <v>11.52</v>
      </c>
      <c r="K33" s="13"/>
    </row>
    <row r="34" spans="1:11">
      <c r="A34" s="13"/>
      <c r="B34" s="13"/>
      <c r="C34" s="15"/>
      <c r="D34" s="16"/>
      <c r="E34" s="16" t="s">
        <v>66</v>
      </c>
      <c r="F34" s="329">
        <v>2.57</v>
      </c>
      <c r="G34" s="385">
        <v>-4</v>
      </c>
      <c r="H34" s="329">
        <v>0.5</v>
      </c>
      <c r="I34" s="329">
        <v>-0.71</v>
      </c>
      <c r="J34" s="329">
        <v>4.32</v>
      </c>
      <c r="K34" s="13"/>
    </row>
    <row r="35" spans="1:11">
      <c r="A35" s="13"/>
      <c r="B35" s="13"/>
      <c r="D35" s="18" t="s">
        <v>0</v>
      </c>
      <c r="E35" s="15" t="s">
        <v>18</v>
      </c>
      <c r="F35" s="57">
        <f>MEDIAN(F17:F32)</f>
        <v>3.4279088868400295E-2</v>
      </c>
      <c r="G35" s="386">
        <f>MEDIAN(G17:G32)</f>
        <v>3.7500000000000006E-2</v>
      </c>
      <c r="H35" s="386">
        <f>MEDIAN(H17:H32)</f>
        <v>0.06</v>
      </c>
      <c r="I35" s="387">
        <f>MEDIAN(I17:I32)</f>
        <v>7.7615606538176674E-2</v>
      </c>
      <c r="J35" s="387">
        <f>MEDIAN(J17:J32)</f>
        <v>9.3308265741802648E-2</v>
      </c>
      <c r="K35" s="13"/>
    </row>
    <row r="36" spans="1:11">
      <c r="A36" s="13"/>
      <c r="B36" s="13"/>
      <c r="D36" s="22" t="s">
        <v>0</v>
      </c>
      <c r="E36" s="15" t="s">
        <v>19</v>
      </c>
      <c r="F36" s="57">
        <f>AVERAGE(F17:F32)</f>
        <v>3.502271336399132E-2</v>
      </c>
      <c r="G36" s="57">
        <f>AVERAGE(G17:G32)</f>
        <v>4.0937500000000002E-2</v>
      </c>
      <c r="H36" s="386">
        <f>AVERAGE(H17:H32)</f>
        <v>5.3125000000000006E-2</v>
      </c>
      <c r="I36" s="387">
        <f>AVERAGE(I17:I32)</f>
        <v>7.5960213363991322E-2</v>
      </c>
      <c r="J36" s="387">
        <f>AVERAGE(J17:J32)</f>
        <v>8.8147713363991326E-2</v>
      </c>
      <c r="K36" s="13"/>
    </row>
    <row r="37" spans="1:11">
      <c r="A37" s="13"/>
      <c r="B37" s="13"/>
      <c r="C37" s="15"/>
      <c r="D37" s="22"/>
      <c r="E37" s="23"/>
      <c r="F37" s="19"/>
      <c r="G37" s="19"/>
      <c r="H37" s="20"/>
      <c r="I37" s="21"/>
      <c r="J37" s="21"/>
      <c r="K37" s="13"/>
    </row>
    <row r="38" spans="1:11" ht="15.75" thickBot="1">
      <c r="A38" s="13"/>
      <c r="B38" s="13"/>
      <c r="C38" s="13"/>
      <c r="D38" s="13"/>
      <c r="E38" s="13"/>
      <c r="F38" s="13"/>
      <c r="G38" s="13"/>
      <c r="H38" s="13"/>
      <c r="I38" s="13"/>
      <c r="J38" s="13"/>
      <c r="K38" s="13"/>
    </row>
    <row r="39" spans="1:11" ht="24" thickBot="1">
      <c r="A39" s="13"/>
      <c r="B39" s="13"/>
      <c r="C39" s="13"/>
      <c r="D39" s="13"/>
      <c r="E39" s="13"/>
      <c r="F39" s="13"/>
      <c r="G39" s="212" t="s">
        <v>219</v>
      </c>
      <c r="H39" s="214"/>
      <c r="I39" s="434">
        <v>7.5999999999999998E-2</v>
      </c>
      <c r="J39" s="13"/>
      <c r="K39" s="13"/>
    </row>
    <row r="40" spans="1:11" ht="15.75" thickBot="1">
      <c r="A40" s="13"/>
      <c r="B40" s="13"/>
      <c r="C40" s="13"/>
      <c r="D40" s="13"/>
      <c r="E40" s="13"/>
      <c r="F40" s="13"/>
      <c r="G40" s="13"/>
      <c r="H40" s="13"/>
      <c r="I40" s="13"/>
      <c r="J40" s="13"/>
      <c r="K40" s="13"/>
    </row>
    <row r="41" spans="1:11" ht="24" thickBot="1">
      <c r="A41" s="13"/>
      <c r="B41" s="13"/>
      <c r="C41" s="13"/>
      <c r="D41" s="13"/>
      <c r="E41" s="13"/>
      <c r="F41" s="13"/>
      <c r="G41" s="212" t="s">
        <v>218</v>
      </c>
      <c r="H41" s="215"/>
      <c r="I41" s="434">
        <v>8.8099999999999998E-2</v>
      </c>
      <c r="J41" s="13"/>
      <c r="K41" s="13"/>
    </row>
    <row r="42" spans="1:11">
      <c r="A42" s="13"/>
      <c r="B42" s="13"/>
      <c r="C42" s="13"/>
      <c r="D42" s="13"/>
      <c r="E42" s="13"/>
      <c r="F42" s="13"/>
      <c r="G42" s="13"/>
      <c r="H42" s="13"/>
      <c r="I42" s="13"/>
      <c r="J42" s="13"/>
    </row>
    <row r="43" spans="1:11" ht="20.25">
      <c r="A43" s="25" t="s">
        <v>415</v>
      </c>
      <c r="B43" s="13"/>
      <c r="C43" s="25" t="s">
        <v>416</v>
      </c>
      <c r="D43" s="13"/>
      <c r="E43" s="13"/>
      <c r="F43" s="13"/>
      <c r="G43" s="13"/>
      <c r="H43" s="13"/>
      <c r="I43" s="13"/>
      <c r="J43" s="13"/>
    </row>
    <row r="44" spans="1:11" ht="15.75">
      <c r="A44" s="65" t="s">
        <v>417</v>
      </c>
      <c r="B44" s="13"/>
      <c r="C44" s="65" t="s">
        <v>417</v>
      </c>
      <c r="D44" s="13"/>
      <c r="E44" s="13"/>
      <c r="F44" s="13"/>
      <c r="G44" s="13"/>
      <c r="H44" s="13"/>
      <c r="I44" s="13"/>
      <c r="J44" s="13"/>
    </row>
    <row r="45" spans="1:11" ht="15.75">
      <c r="A45" s="65" t="s">
        <v>418</v>
      </c>
      <c r="B45" s="13"/>
      <c r="C45" s="65" t="s">
        <v>419</v>
      </c>
      <c r="D45" s="13"/>
      <c r="E45" s="13"/>
      <c r="F45" s="13"/>
      <c r="G45" s="13"/>
      <c r="H45" s="13"/>
      <c r="I45" s="13"/>
      <c r="J45" s="13"/>
    </row>
    <row r="46" spans="1:11">
      <c r="A46" s="45"/>
      <c r="B46" s="13"/>
      <c r="C46" s="45"/>
      <c r="D46" s="13"/>
      <c r="E46" s="13"/>
      <c r="F46" s="13"/>
      <c r="G46" s="13"/>
      <c r="H46" s="13"/>
      <c r="I46" s="13"/>
      <c r="J46" s="13"/>
    </row>
    <row r="47" spans="1:11">
      <c r="A47" s="45"/>
      <c r="B47" s="13"/>
      <c r="C47" s="45"/>
      <c r="D47" s="13"/>
      <c r="E47" s="13"/>
      <c r="F47" s="13"/>
      <c r="G47" s="13"/>
      <c r="H47" s="13"/>
      <c r="I47" s="13"/>
      <c r="J47" s="13"/>
    </row>
    <row r="48" spans="1:11" ht="20.25">
      <c r="A48" s="25" t="s">
        <v>242</v>
      </c>
      <c r="B48" s="13"/>
      <c r="C48" s="25" t="s">
        <v>242</v>
      </c>
      <c r="D48" s="13"/>
      <c r="E48" s="13"/>
      <c r="F48" s="13"/>
      <c r="G48" s="13"/>
      <c r="H48" s="13"/>
      <c r="I48" s="13"/>
      <c r="J48" s="13"/>
    </row>
    <row r="49" spans="1:10">
      <c r="A49" s="45"/>
      <c r="B49" s="13"/>
      <c r="C49" s="45"/>
      <c r="D49" s="13"/>
      <c r="E49" s="13"/>
      <c r="F49" s="13"/>
      <c r="H49" s="13"/>
      <c r="I49" s="13"/>
      <c r="J49" s="13"/>
    </row>
    <row r="50" spans="1:10" ht="15.75">
      <c r="A50" s="65" t="s">
        <v>243</v>
      </c>
      <c r="B50" s="13"/>
      <c r="C50" s="65" t="s">
        <v>243</v>
      </c>
      <c r="D50" s="13"/>
      <c r="E50" s="13"/>
      <c r="F50" s="13"/>
      <c r="G50" s="13"/>
      <c r="H50" s="13"/>
      <c r="I50" s="13"/>
      <c r="J50" s="13"/>
    </row>
    <row r="51" spans="1:10" ht="15.75">
      <c r="A51" s="65" t="s">
        <v>241</v>
      </c>
      <c r="B51" s="13"/>
      <c r="C51" s="65" t="s">
        <v>241</v>
      </c>
      <c r="D51" s="13"/>
      <c r="E51" s="13"/>
      <c r="F51" s="13"/>
      <c r="G51" s="13"/>
      <c r="H51" s="13"/>
      <c r="I51" s="13"/>
      <c r="J51" s="13"/>
    </row>
    <row r="52" spans="1:10" ht="15.75">
      <c r="A52" s="65" t="s">
        <v>244</v>
      </c>
      <c r="B52" s="13"/>
      <c r="C52" s="65" t="s">
        <v>244</v>
      </c>
      <c r="D52" s="13"/>
      <c r="E52" s="13"/>
      <c r="F52" s="13"/>
      <c r="G52" s="13"/>
      <c r="H52" s="13"/>
      <c r="I52" s="13"/>
      <c r="J52" s="13"/>
    </row>
    <row r="53" spans="1:10" ht="15.75">
      <c r="A53" s="65" t="s">
        <v>420</v>
      </c>
      <c r="B53" s="13"/>
      <c r="C53" s="65" t="s">
        <v>421</v>
      </c>
      <c r="D53" s="13"/>
      <c r="E53" s="13"/>
      <c r="F53" s="13"/>
      <c r="G53" s="13"/>
      <c r="H53" s="13"/>
      <c r="I53" s="13"/>
      <c r="J53" s="13"/>
    </row>
    <row r="54" spans="1:10" ht="15.75">
      <c r="A54" s="65"/>
      <c r="B54" s="13"/>
      <c r="C54" s="65"/>
      <c r="D54" s="13"/>
      <c r="E54" s="13"/>
      <c r="F54" s="13"/>
      <c r="G54" s="13"/>
      <c r="H54" s="13"/>
      <c r="I54" s="13"/>
      <c r="J54" s="13"/>
    </row>
    <row r="55" spans="1:10" ht="15.75">
      <c r="A55" s="65"/>
      <c r="B55" s="13"/>
      <c r="C55" s="65"/>
      <c r="D55" s="13"/>
      <c r="E55" s="13"/>
      <c r="F55" s="13"/>
      <c r="G55" s="13"/>
      <c r="H55" s="13"/>
      <c r="I55" s="13"/>
      <c r="J55" s="13"/>
    </row>
  </sheetData>
  <pageMargins left="0.25" right="0.25" top="0.75" bottom="0.75" header="0.3" footer="0.3"/>
  <pageSetup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22"/>
  <sheetViews>
    <sheetView view="pageBreakPreview" zoomScale="70" zoomScaleNormal="80" zoomScaleSheetLayoutView="70" workbookViewId="0">
      <selection activeCell="E43" sqref="E43"/>
    </sheetView>
  </sheetViews>
  <sheetFormatPr defaultRowHeight="15"/>
  <cols>
    <col min="1" max="1" width="47.85546875" customWidth="1"/>
    <col min="2" max="2" width="15.28515625" customWidth="1"/>
    <col min="3" max="3" width="24.5703125" customWidth="1"/>
    <col min="4" max="4" width="26.5703125" customWidth="1"/>
    <col min="5" max="5" width="33" customWidth="1"/>
    <col min="6" max="6" width="22.42578125" customWidth="1"/>
    <col min="7" max="7" width="27" customWidth="1"/>
    <col min="8" max="8" width="43" customWidth="1"/>
    <col min="9" max="9" width="15.28515625" customWidth="1"/>
    <col min="10" max="10" width="24.5703125" customWidth="1"/>
    <col min="11" max="11" width="24.140625" customWidth="1"/>
    <col min="13" max="13" width="10.5703125" customWidth="1"/>
  </cols>
  <sheetData>
    <row r="1" spans="1:9" ht="20.25">
      <c r="A1" s="25" t="s">
        <v>1</v>
      </c>
      <c r="B1" s="13"/>
      <c r="C1" s="13"/>
      <c r="D1" s="13"/>
      <c r="E1" s="13"/>
      <c r="F1" s="13"/>
      <c r="G1" s="13"/>
      <c r="H1" s="13"/>
      <c r="I1" s="13"/>
    </row>
    <row r="2" spans="1:9" ht="15.75">
      <c r="A2" s="26" t="s">
        <v>9</v>
      </c>
      <c r="B2" s="13"/>
      <c r="C2" s="13"/>
      <c r="D2" s="13"/>
      <c r="E2" s="13"/>
      <c r="F2" s="13"/>
      <c r="G2" s="13"/>
      <c r="H2" s="13"/>
      <c r="I2" s="13"/>
    </row>
    <row r="3" spans="1:9">
      <c r="A3" s="27" t="s">
        <v>97</v>
      </c>
      <c r="B3" s="13"/>
      <c r="C3" s="13"/>
      <c r="D3" s="13"/>
      <c r="E3" s="13"/>
      <c r="F3" s="13"/>
      <c r="G3" s="13"/>
      <c r="H3" s="13"/>
      <c r="I3" s="13"/>
    </row>
    <row r="4" spans="1:9">
      <c r="A4" s="27"/>
      <c r="B4" s="13"/>
      <c r="C4" s="13"/>
      <c r="D4" s="13"/>
      <c r="E4" s="13"/>
      <c r="F4" s="13"/>
      <c r="G4" s="13"/>
      <c r="H4" s="13"/>
      <c r="I4" s="13"/>
    </row>
    <row r="5" spans="1:9" ht="15.75" thickBot="1">
      <c r="A5" s="13"/>
      <c r="B5" s="13"/>
      <c r="C5" s="13"/>
      <c r="D5" s="13"/>
      <c r="E5" s="13"/>
      <c r="F5" s="13"/>
      <c r="G5" s="13"/>
      <c r="H5" s="13"/>
      <c r="I5" s="28"/>
    </row>
    <row r="6" spans="1:9" ht="18.75" thickBot="1">
      <c r="A6" s="287" t="str">
        <f>+'S&amp;D'!A12</f>
        <v>Electric Utilities</v>
      </c>
      <c r="B6" s="215"/>
      <c r="C6" s="13"/>
      <c r="D6" s="13"/>
      <c r="E6" s="13"/>
      <c r="F6" s="13"/>
      <c r="G6" s="13"/>
      <c r="H6" s="13"/>
      <c r="I6" s="13"/>
    </row>
    <row r="7" spans="1:9" ht="18">
      <c r="A7" s="32"/>
      <c r="B7" s="13"/>
      <c r="C7" s="13"/>
      <c r="D7" s="13"/>
      <c r="E7" s="13"/>
      <c r="F7" s="13"/>
      <c r="G7" s="13"/>
      <c r="H7" s="13"/>
      <c r="I7" s="13"/>
    </row>
    <row r="8" spans="1:9" ht="18.75" thickBot="1">
      <c r="A8" s="32"/>
      <c r="B8" s="13"/>
      <c r="C8" s="13"/>
      <c r="D8" s="30"/>
      <c r="E8" s="30"/>
      <c r="F8" s="30"/>
      <c r="G8" s="13"/>
      <c r="H8" s="13"/>
      <c r="I8" s="13"/>
    </row>
    <row r="9" spans="1:9" ht="20.25">
      <c r="A9" s="32"/>
      <c r="B9" s="13"/>
      <c r="C9" s="13"/>
      <c r="D9" s="13"/>
      <c r="E9" s="33" t="s">
        <v>220</v>
      </c>
      <c r="F9" s="13"/>
      <c r="G9" s="13"/>
      <c r="H9" s="13"/>
      <c r="I9" s="13"/>
    </row>
    <row r="10" spans="1:9" ht="18.75" thickBot="1">
      <c r="A10" s="32"/>
      <c r="B10" s="13"/>
      <c r="C10" s="13"/>
      <c r="D10" s="30"/>
      <c r="E10" s="34" t="s">
        <v>111</v>
      </c>
      <c r="F10" s="30"/>
      <c r="G10" s="13"/>
      <c r="H10" s="13"/>
      <c r="I10" s="13"/>
    </row>
    <row r="11" spans="1:9" ht="18">
      <c r="A11" s="32"/>
      <c r="B11" s="13"/>
      <c r="C11" s="13"/>
      <c r="D11" s="13"/>
      <c r="E11" s="13"/>
      <c r="F11" s="36"/>
      <c r="G11" s="36"/>
      <c r="H11" s="13"/>
      <c r="I11" s="13"/>
    </row>
    <row r="12" spans="1:9" ht="18">
      <c r="A12" s="32"/>
      <c r="B12" s="13"/>
      <c r="C12" s="13"/>
      <c r="D12" s="13"/>
      <c r="E12" s="13"/>
      <c r="F12" s="36"/>
      <c r="G12" s="36"/>
      <c r="H12" s="13"/>
      <c r="I12" s="13"/>
    </row>
    <row r="13" spans="1:9" ht="45.75" customHeight="1" thickBot="1">
      <c r="A13" s="35" t="s">
        <v>0</v>
      </c>
      <c r="B13" s="35" t="s">
        <v>0</v>
      </c>
      <c r="C13" s="35" t="s">
        <v>0</v>
      </c>
      <c r="D13" s="30"/>
      <c r="E13" s="30"/>
      <c r="F13" s="35" t="s">
        <v>0</v>
      </c>
      <c r="G13" s="35"/>
      <c r="H13" s="35"/>
      <c r="I13" s="13"/>
    </row>
    <row r="14" spans="1:9">
      <c r="A14" s="36" t="s">
        <v>0</v>
      </c>
      <c r="B14" s="36" t="s">
        <v>3</v>
      </c>
      <c r="C14" s="36" t="s">
        <v>5</v>
      </c>
      <c r="D14" s="36" t="s">
        <v>216</v>
      </c>
      <c r="E14" s="36" t="s">
        <v>217</v>
      </c>
      <c r="F14" s="36" t="s">
        <v>221</v>
      </c>
      <c r="G14" s="36" t="s">
        <v>19</v>
      </c>
      <c r="H14" s="36" t="s">
        <v>223</v>
      </c>
      <c r="I14" s="13"/>
    </row>
    <row r="15" spans="1:9">
      <c r="A15" s="36" t="s">
        <v>2</v>
      </c>
      <c r="B15" s="36" t="s">
        <v>4</v>
      </c>
      <c r="C15" s="36" t="s">
        <v>6</v>
      </c>
      <c r="D15" s="36" t="s">
        <v>452</v>
      </c>
      <c r="E15" s="36" t="s">
        <v>454</v>
      </c>
      <c r="F15" s="36" t="s">
        <v>165</v>
      </c>
      <c r="G15" s="36" t="s">
        <v>222</v>
      </c>
      <c r="H15" s="36" t="s">
        <v>212</v>
      </c>
      <c r="I15" s="13"/>
    </row>
    <row r="16" spans="1:9">
      <c r="A16" s="36"/>
      <c r="B16" s="36" t="s">
        <v>0</v>
      </c>
      <c r="C16" s="36" t="s">
        <v>0</v>
      </c>
      <c r="D16" s="36" t="s">
        <v>0</v>
      </c>
      <c r="E16" s="37" t="s">
        <v>453</v>
      </c>
      <c r="F16" s="37" t="s">
        <v>0</v>
      </c>
      <c r="G16" s="36" t="s">
        <v>227</v>
      </c>
      <c r="H16" s="37" t="s">
        <v>228</v>
      </c>
      <c r="I16" s="13"/>
    </row>
    <row r="17" spans="1:11" ht="18" customHeight="1" thickBot="1">
      <c r="A17" s="69" t="s">
        <v>0</v>
      </c>
      <c r="B17" s="39" t="s">
        <v>0</v>
      </c>
      <c r="C17" s="39" t="s">
        <v>0</v>
      </c>
      <c r="D17" s="34" t="s">
        <v>225</v>
      </c>
      <c r="E17" s="34" t="s">
        <v>226</v>
      </c>
      <c r="F17" s="34" t="s">
        <v>224</v>
      </c>
      <c r="G17" s="36" t="s">
        <v>131</v>
      </c>
      <c r="H17" s="167"/>
      <c r="I17" s="13"/>
    </row>
    <row r="18" spans="1:11">
      <c r="A18" s="40" t="s">
        <v>0</v>
      </c>
      <c r="B18" s="40" t="s">
        <v>0</v>
      </c>
      <c r="C18" s="40" t="s">
        <v>0</v>
      </c>
      <c r="D18" s="40" t="s">
        <v>7</v>
      </c>
      <c r="E18" s="40" t="s">
        <v>7</v>
      </c>
      <c r="F18" s="40" t="s">
        <v>0</v>
      </c>
      <c r="G18" s="70" t="s">
        <v>0</v>
      </c>
      <c r="H18" s="40" t="s">
        <v>0</v>
      </c>
      <c r="I18" s="13"/>
    </row>
    <row r="19" spans="1:11">
      <c r="A19" s="36"/>
      <c r="B19" s="36"/>
      <c r="C19" s="36"/>
      <c r="D19" s="36"/>
      <c r="E19" s="13"/>
      <c r="F19" s="36"/>
      <c r="G19" s="13"/>
      <c r="H19" s="13"/>
      <c r="I19" s="13"/>
      <c r="J19" t="s">
        <v>0</v>
      </c>
      <c r="K19" t="s">
        <v>0</v>
      </c>
    </row>
    <row r="20" spans="1:11">
      <c r="A20" s="13"/>
      <c r="B20" s="13"/>
      <c r="C20" s="13"/>
      <c r="D20" s="13"/>
      <c r="E20" s="13"/>
      <c r="F20" s="13"/>
      <c r="G20" s="13"/>
      <c r="H20" s="13" t="s">
        <v>0</v>
      </c>
      <c r="I20" s="13"/>
      <c r="J20" t="s">
        <v>0</v>
      </c>
      <c r="K20" t="s">
        <v>0</v>
      </c>
    </row>
    <row r="21" spans="1:11">
      <c r="A21" s="45" t="str">
        <f>+'S&amp;D'!A22</f>
        <v>ALLETE Inc</v>
      </c>
      <c r="B21" s="36" t="str">
        <f>+'S&amp;D'!B22</f>
        <v>ALE</v>
      </c>
      <c r="C21" s="36" t="str">
        <f>+'S&amp;D'!C22</f>
        <v>Electric Utility - Cent</v>
      </c>
      <c r="D21" s="68">
        <f>+'Single Stage Div Growth Model'!F17</f>
        <v>4.2008990854131137E-2</v>
      </c>
      <c r="E21" s="68">
        <f>+'Single Stage Div Growth Model'!H17</f>
        <v>0.06</v>
      </c>
      <c r="F21" s="68">
        <f>+'Growth &amp; Inflation Rates'!F93</f>
        <v>4.1419999999999998E-2</v>
      </c>
      <c r="G21" s="68">
        <f t="shared" ref="G21" si="0">(F21+E21)/2</f>
        <v>5.0709999999999998E-2</v>
      </c>
      <c r="H21" s="68">
        <f>D21*(1+(0.5*G21))+(0.67*E21)+(0.33*F21)</f>
        <v>9.6942728817237644E-2</v>
      </c>
      <c r="I21" s="13"/>
      <c r="J21" t="s">
        <v>0</v>
      </c>
      <c r="K21" t="s">
        <v>0</v>
      </c>
    </row>
    <row r="22" spans="1:11">
      <c r="A22" s="45" t="str">
        <f>+'S&amp;D'!A23</f>
        <v>Alliant Energy</v>
      </c>
      <c r="B22" s="36" t="str">
        <f>+'S&amp;D'!B23</f>
        <v>LNT</v>
      </c>
      <c r="C22" s="36" t="str">
        <f>+'S&amp;D'!C23</f>
        <v>Electric Utility - Cent</v>
      </c>
      <c r="D22" s="68">
        <f>+'Single Stage Div Growth Model'!F18</f>
        <v>3.278391595725412E-2</v>
      </c>
      <c r="E22" s="68">
        <f>+'Single Stage Div Growth Model'!H18</f>
        <v>6.5000000000000002E-2</v>
      </c>
      <c r="F22" s="68">
        <f>+F21</f>
        <v>4.1419999999999998E-2</v>
      </c>
      <c r="G22" s="68">
        <f t="shared" ref="G22:G36" si="1">(F22+E22)/2</f>
        <v>5.321E-2</v>
      </c>
      <c r="H22" s="68">
        <f t="shared" ref="H22:H36" si="2">D22*(1+(0.5*G22))+(0.67*E22)+(0.33*F22)</f>
        <v>9.0874732041296868E-2</v>
      </c>
      <c r="I22" s="13"/>
      <c r="J22" t="s">
        <v>0</v>
      </c>
      <c r="K22" t="s">
        <v>0</v>
      </c>
    </row>
    <row r="23" spans="1:11">
      <c r="A23" s="45" t="str">
        <f>+'S&amp;D'!A24</f>
        <v>AMEREN Corporation</v>
      </c>
      <c r="B23" s="36" t="str">
        <f>+'S&amp;D'!B24</f>
        <v>AEE</v>
      </c>
      <c r="C23" s="36" t="str">
        <f>+'S&amp;D'!C24</f>
        <v>Electric Utility - Cent</v>
      </c>
      <c r="D23" s="68">
        <f>+'Single Stage Div Growth Model'!F19</f>
        <v>2.8340080971659919E-2</v>
      </c>
      <c r="E23" s="68">
        <f>+'Single Stage Div Growth Model'!H19</f>
        <v>6.5000000000000002E-2</v>
      </c>
      <c r="F23" s="68">
        <f>+F21</f>
        <v>4.1419999999999998E-2</v>
      </c>
      <c r="G23" s="68">
        <f t="shared" si="1"/>
        <v>5.321E-2</v>
      </c>
      <c r="H23" s="68">
        <f t="shared" si="2"/>
        <v>8.6312668825910932E-2</v>
      </c>
      <c r="I23" s="13"/>
      <c r="J23" t="s">
        <v>0</v>
      </c>
      <c r="K23" t="s">
        <v>0</v>
      </c>
    </row>
    <row r="24" spans="1:11">
      <c r="A24" s="45" t="str">
        <f>+'S&amp;D'!A25</f>
        <v>American Electric Power</v>
      </c>
      <c r="B24" s="36" t="str">
        <f>+'S&amp;D'!B25</f>
        <v>AEP</v>
      </c>
      <c r="C24" s="36" t="str">
        <f>+'S&amp;D'!C25</f>
        <v>Electric Utility - Cent</v>
      </c>
      <c r="D24" s="68">
        <f>+'Single Stage Div Growth Model'!F20</f>
        <v>3.5281727224855189E-2</v>
      </c>
      <c r="E24" s="68">
        <f>+'Single Stage Div Growth Model'!H20</f>
        <v>0.06</v>
      </c>
      <c r="F24" s="68">
        <f>+F21</f>
        <v>4.1419999999999998E-2</v>
      </c>
      <c r="G24" s="68">
        <f t="shared" si="1"/>
        <v>5.0709999999999998E-2</v>
      </c>
      <c r="H24" s="68">
        <f t="shared" si="2"/>
        <v>9.0044895418641385E-2</v>
      </c>
      <c r="I24" s="13"/>
      <c r="J24" t="s">
        <v>0</v>
      </c>
      <c r="K24" t="s">
        <v>0</v>
      </c>
    </row>
    <row r="25" spans="1:11">
      <c r="A25" s="45" t="str">
        <f>+'S&amp;D'!A26</f>
        <v>Centerpoint Energy</v>
      </c>
      <c r="B25" s="36" t="str">
        <f>+'S&amp;D'!B26</f>
        <v>CNP</v>
      </c>
      <c r="C25" s="36" t="str">
        <f>+'S&amp;D'!C26</f>
        <v>Electric Utility - Cent</v>
      </c>
      <c r="D25" s="68">
        <f>+'Single Stage Div Growth Model'!F21</f>
        <v>2.567522507502501E-2</v>
      </c>
      <c r="E25" s="68">
        <f>+'Single Stage Div Growth Model'!H21</f>
        <v>0.06</v>
      </c>
      <c r="F25" s="68">
        <f>+F21</f>
        <v>4.1419999999999998E-2</v>
      </c>
      <c r="G25" s="68">
        <f t="shared" si="1"/>
        <v>5.0709999999999998E-2</v>
      </c>
      <c r="H25" s="68">
        <f t="shared" si="2"/>
        <v>8.0194820406802272E-2</v>
      </c>
      <c r="I25" s="13"/>
      <c r="J25" t="s">
        <v>0</v>
      </c>
      <c r="K25" t="s">
        <v>0</v>
      </c>
    </row>
    <row r="26" spans="1:11">
      <c r="A26" s="45" t="str">
        <f>+'S&amp;D'!A27</f>
        <v>CMS Energy</v>
      </c>
      <c r="B26" s="36" t="str">
        <f>+'S&amp;D'!B27</f>
        <v>CMS</v>
      </c>
      <c r="C26" s="36" t="str">
        <f>+'S&amp;D'!C27</f>
        <v>Electric Utility - Cent</v>
      </c>
      <c r="D26" s="68">
        <f>+'Single Stage Div Growth Model'!F22</f>
        <v>3.0791094268119375E-2</v>
      </c>
      <c r="E26" s="68">
        <f>+'Single Stage Div Growth Model'!H22</f>
        <v>6.5000000000000002E-2</v>
      </c>
      <c r="F26" s="68">
        <f>+F21</f>
        <v>4.1419999999999998E-2</v>
      </c>
      <c r="G26" s="68">
        <f t="shared" si="1"/>
        <v>5.321E-2</v>
      </c>
      <c r="H26" s="68">
        <f t="shared" si="2"/>
        <v>8.8828891331122706E-2</v>
      </c>
      <c r="I26" s="13"/>
      <c r="J26" s="12" t="s">
        <v>0</v>
      </c>
      <c r="K26" t="s">
        <v>0</v>
      </c>
    </row>
    <row r="27" spans="1:11">
      <c r="A27" s="45" t="str">
        <f>+'S&amp;D'!A28</f>
        <v>DTE Energy</v>
      </c>
      <c r="B27" s="36" t="str">
        <f>+'S&amp;D'!B28</f>
        <v>DTE</v>
      </c>
      <c r="C27" s="36" t="str">
        <f>+'S&amp;D'!C28</f>
        <v>Electric Utility - Cent</v>
      </c>
      <c r="D27" s="68">
        <f>+'Single Stage Div Growth Model'!F23</f>
        <v>3.2417255168893051E-2</v>
      </c>
      <c r="E27" s="68">
        <f>+'Single Stage Div Growth Model'!H23</f>
        <v>4.4999999999999998E-2</v>
      </c>
      <c r="F27" s="68">
        <f>+F21</f>
        <v>4.1419999999999998E-2</v>
      </c>
      <c r="G27" s="68">
        <f t="shared" si="1"/>
        <v>4.3209999999999998E-2</v>
      </c>
      <c r="H27" s="68">
        <f t="shared" si="2"/>
        <v>7.6936229966816996E-2</v>
      </c>
      <c r="I27" s="13"/>
      <c r="J27" s="12" t="s">
        <v>0</v>
      </c>
    </row>
    <row r="28" spans="1:11">
      <c r="A28" s="45" t="str">
        <f>+'S&amp;D'!A29</f>
        <v>Duke Energy</v>
      </c>
      <c r="B28" s="36" t="str">
        <f>+'S&amp;D'!B29</f>
        <v>DUK</v>
      </c>
      <c r="C28" s="36" t="str">
        <f>+'S&amp;D'!C29</f>
        <v>Electric Utility - East</v>
      </c>
      <c r="D28" s="68">
        <f>+'Single Stage Div Growth Model'!F24</f>
        <v>3.942130303913001E-2</v>
      </c>
      <c r="E28" s="68">
        <f>+'Single Stage Div Growth Model'!H24</f>
        <v>0.05</v>
      </c>
      <c r="F28" s="68">
        <f>+F21</f>
        <v>4.1419999999999998E-2</v>
      </c>
      <c r="G28" s="68">
        <f t="shared" si="1"/>
        <v>4.5710000000000001E-2</v>
      </c>
      <c r="H28" s="68">
        <f t="shared" si="2"/>
        <v>8.7490876920089333E-2</v>
      </c>
      <c r="I28" s="13"/>
      <c r="J28" t="s">
        <v>0</v>
      </c>
    </row>
    <row r="29" spans="1:11">
      <c r="A29" s="45" t="str">
        <f>+'S&amp;D'!A30</f>
        <v>Entergy Corp</v>
      </c>
      <c r="B29" s="36" t="str">
        <f>+'S&amp;D'!B30</f>
        <v>ETR</v>
      </c>
      <c r="C29" s="36" t="str">
        <f>+'S&amp;D'!C30</f>
        <v>Electric Utility - Cent</v>
      </c>
      <c r="D29" s="68">
        <f>+'Single Stage Div Growth Model'!F25</f>
        <v>3.822222222222222E-2</v>
      </c>
      <c r="E29" s="68">
        <f>+'Single Stage Div Growth Model'!H25</f>
        <v>5.0000000000000001E-3</v>
      </c>
      <c r="F29" s="68">
        <f>+F21</f>
        <v>4.1419999999999998E-2</v>
      </c>
      <c r="G29" s="68">
        <f t="shared" si="1"/>
        <v>2.3209999999999998E-2</v>
      </c>
      <c r="H29" s="68">
        <f t="shared" si="2"/>
        <v>5.5684391111111106E-2</v>
      </c>
      <c r="I29" s="13"/>
    </row>
    <row r="30" spans="1:11">
      <c r="A30" s="45" t="str">
        <f>+'S&amp;D'!A31</f>
        <v>Evergy Inc</v>
      </c>
      <c r="B30" s="36" t="str">
        <f>+'S&amp;D'!B31</f>
        <v>EVRG</v>
      </c>
      <c r="C30" s="36" t="str">
        <f>+'S&amp;D'!C31</f>
        <v>Electric Utility - Cent</v>
      </c>
      <c r="D30" s="68">
        <f>+'Single Stage Div Growth Model'!F26</f>
        <v>4.0203400603845536E-2</v>
      </c>
      <c r="E30" s="68">
        <f>+'Single Stage Div Growth Model'!H26</f>
        <v>7.4999999999999997E-2</v>
      </c>
      <c r="F30" s="68">
        <f>+F21</f>
        <v>4.1419999999999998E-2</v>
      </c>
      <c r="G30" s="68">
        <f t="shared" si="1"/>
        <v>5.8209999999999998E-2</v>
      </c>
      <c r="H30" s="68">
        <f t="shared" si="2"/>
        <v>0.10529212057842047</v>
      </c>
      <c r="I30" s="13"/>
    </row>
    <row r="31" spans="1:11">
      <c r="A31" s="45" t="str">
        <f>+'S&amp;D'!A32</f>
        <v>FirstEnergy Corp</v>
      </c>
      <c r="B31" s="36" t="str">
        <f>+'S&amp;D'!B32</f>
        <v>FE</v>
      </c>
      <c r="C31" s="36" t="str">
        <f>+'S&amp;D'!C32</f>
        <v>Electric Utility - East</v>
      </c>
      <c r="D31" s="68">
        <f>+'Single Stage Div Growth Model'!F27</f>
        <v>3.7195994277539342E-2</v>
      </c>
      <c r="E31" s="68">
        <f>+'Single Stage Div Growth Model'!H27</f>
        <v>0.03</v>
      </c>
      <c r="F31" s="68">
        <f>+F21</f>
        <v>4.1419999999999998E-2</v>
      </c>
      <c r="G31" s="68">
        <f t="shared" si="1"/>
        <v>3.5709999999999999E-2</v>
      </c>
      <c r="H31" s="68">
        <f t="shared" si="2"/>
        <v>7.1628728755364801E-2</v>
      </c>
      <c r="I31" s="13"/>
    </row>
    <row r="32" spans="1:11">
      <c r="A32" s="45" t="str">
        <f>+'S&amp;D'!A33</f>
        <v>OGE Energy Corp.</v>
      </c>
      <c r="B32" s="36" t="str">
        <f>+'S&amp;D'!B33</f>
        <v>OGE</v>
      </c>
      <c r="C32" s="36" t="str">
        <f>+'S&amp;D'!C33</f>
        <v>Electric Utility - Cent</v>
      </c>
      <c r="D32" s="68">
        <f>+'Single Stage Div Growth Model'!F28</f>
        <v>4.2983565107458918E-2</v>
      </c>
      <c r="E32" s="68">
        <f>+'Single Stage Div Growth Model'!H28</f>
        <v>6.5000000000000002E-2</v>
      </c>
      <c r="F32" s="68">
        <f>+F21</f>
        <v>4.1419999999999998E-2</v>
      </c>
      <c r="G32" s="68">
        <f t="shared" si="1"/>
        <v>5.321E-2</v>
      </c>
      <c r="H32" s="68">
        <f t="shared" si="2"/>
        <v>0.10134574285714287</v>
      </c>
      <c r="I32" s="13"/>
    </row>
    <row r="33" spans="1:9">
      <c r="A33" s="45" t="str">
        <f>+'S&amp;D'!A34</f>
        <v>Otter Tail Corp</v>
      </c>
      <c r="B33" s="36" t="str">
        <f>+'S&amp;D'!B34</f>
        <v>OTTR</v>
      </c>
      <c r="C33" s="36" t="str">
        <f>+'S&amp;D'!C34</f>
        <v>Electric Utility - Cent</v>
      </c>
      <c r="D33" s="68">
        <f>+'Single Stage Div Growth Model'!F29</f>
        <v>2.9977857264520524E-2</v>
      </c>
      <c r="E33" s="68">
        <f>+'Single Stage Div Growth Model'!H29</f>
        <v>4.4999999999999998E-2</v>
      </c>
      <c r="F33" s="68">
        <f>+F21</f>
        <v>4.1419999999999998E-2</v>
      </c>
      <c r="G33" s="68">
        <f t="shared" si="1"/>
        <v>4.3209999999999998E-2</v>
      </c>
      <c r="H33" s="68">
        <f t="shared" si="2"/>
        <v>7.4444128870720494E-2</v>
      </c>
      <c r="I33" s="13"/>
    </row>
    <row r="34" spans="1:9">
      <c r="A34" s="45" t="str">
        <f>+'S&amp;D'!A35</f>
        <v>PPL Corporation</v>
      </c>
      <c r="B34" s="36" t="str">
        <f>+'S&amp;D'!B35</f>
        <v>PPL</v>
      </c>
      <c r="C34" s="36" t="str">
        <f>+'S&amp;D'!C35</f>
        <v>Electric Utility - East</v>
      </c>
      <c r="D34" s="68">
        <f>+'Single Stage Div Growth Model'!F30</f>
        <v>3.2854209445585217E-2</v>
      </c>
      <c r="E34" s="68">
        <f>+'Single Stage Div Growth Model'!H30</f>
        <v>3.5000000000000003E-2</v>
      </c>
      <c r="F34" s="68">
        <f>+F21</f>
        <v>4.1419999999999998E-2</v>
      </c>
      <c r="G34" s="68">
        <f t="shared" si="1"/>
        <v>3.8210000000000001E-2</v>
      </c>
      <c r="H34" s="68">
        <f t="shared" si="2"/>
        <v>7.0600489117043128E-2</v>
      </c>
      <c r="I34" s="13"/>
    </row>
    <row r="35" spans="1:9">
      <c r="A35" s="45" t="str">
        <f>+'S&amp;D'!A36</f>
        <v>The Southern Company</v>
      </c>
      <c r="B35" s="36" t="str">
        <f>+'S&amp;D'!B36</f>
        <v>SO</v>
      </c>
      <c r="C35" s="36" t="str">
        <f>+'S&amp;D'!C36</f>
        <v>Electric Utility - East</v>
      </c>
      <c r="D35" s="68">
        <f>+'Single Stage Div Growth Model'!F31</f>
        <v>3.8930121831676233E-2</v>
      </c>
      <c r="E35" s="68">
        <f>+'Single Stage Div Growth Model'!H31</f>
        <v>6.5000000000000002E-2</v>
      </c>
      <c r="F35" s="68">
        <f>+F21</f>
        <v>4.1419999999999998E-2</v>
      </c>
      <c r="G35" s="68">
        <f t="shared" si="1"/>
        <v>5.321E-2</v>
      </c>
      <c r="H35" s="68">
        <f t="shared" si="2"/>
        <v>9.7184457723007989E-2</v>
      </c>
      <c r="I35" s="13"/>
    </row>
    <row r="36" spans="1:9" ht="15.75" thickBot="1">
      <c r="A36" s="45" t="str">
        <f>+'S&amp;D'!A37</f>
        <v>WEC Energy Group</v>
      </c>
      <c r="B36" s="36" t="str">
        <f>+'S&amp;D'!B37</f>
        <v>WEC</v>
      </c>
      <c r="C36" s="36" t="str">
        <f>+'S&amp;D'!C37</f>
        <v>Electric Utility - Cent</v>
      </c>
      <c r="D36" s="68">
        <f>+'Single Stage Div Growth Model'!F32</f>
        <v>3.3276450511945395E-2</v>
      </c>
      <c r="E36" s="68">
        <f>+'Single Stage Div Growth Model'!H32</f>
        <v>0.06</v>
      </c>
      <c r="F36" s="68">
        <f>+F21</f>
        <v>4.1419999999999998E-2</v>
      </c>
      <c r="G36" s="68">
        <f t="shared" si="1"/>
        <v>5.0709999999999998E-2</v>
      </c>
      <c r="H36" s="162">
        <f t="shared" si="2"/>
        <v>8.7988774914675771E-2</v>
      </c>
      <c r="I36" s="13"/>
    </row>
    <row r="37" spans="1:9" ht="15.75" thickTop="1">
      <c r="A37" s="13"/>
      <c r="B37" s="13"/>
      <c r="C37" s="13"/>
      <c r="D37" s="13"/>
      <c r="E37" s="13"/>
      <c r="F37" s="13"/>
      <c r="G37" s="206" t="s">
        <v>65</v>
      </c>
      <c r="H37" s="58">
        <v>0.1062</v>
      </c>
      <c r="I37" s="13"/>
    </row>
    <row r="38" spans="1:9">
      <c r="A38" s="13"/>
      <c r="B38" s="13"/>
      <c r="C38" s="15" t="s">
        <v>0</v>
      </c>
      <c r="D38" s="16" t="s">
        <v>0</v>
      </c>
      <c r="E38" s="16" t="s">
        <v>0</v>
      </c>
      <c r="F38" s="17" t="s">
        <v>0</v>
      </c>
      <c r="G38" s="17" t="s">
        <v>66</v>
      </c>
      <c r="H38" s="315">
        <v>5.6599999999999998E-2</v>
      </c>
      <c r="I38" s="13"/>
    </row>
    <row r="39" spans="1:9">
      <c r="A39" s="13"/>
      <c r="B39" s="13"/>
      <c r="D39" s="58" t="s">
        <v>0</v>
      </c>
      <c r="E39" s="52" t="s">
        <v>0</v>
      </c>
      <c r="F39" s="52" t="s">
        <v>0</v>
      </c>
      <c r="G39" s="15" t="s">
        <v>18</v>
      </c>
      <c r="H39" s="53">
        <f>MEDIAN(H21:H36)</f>
        <v>8.7739825917382552E-2</v>
      </c>
      <c r="I39" s="13"/>
    </row>
    <row r="40" spans="1:9">
      <c r="A40" s="13"/>
      <c r="B40" s="13"/>
      <c r="D40" s="58" t="s">
        <v>0</v>
      </c>
      <c r="E40" s="52" t="s">
        <v>0</v>
      </c>
      <c r="F40" s="58" t="s">
        <v>0</v>
      </c>
      <c r="G40" s="15" t="s">
        <v>19</v>
      </c>
      <c r="H40" s="53">
        <f>AVERAGE(H21:H36)</f>
        <v>8.5112167353462803E-2</v>
      </c>
      <c r="I40" s="13"/>
    </row>
    <row r="41" spans="1:9">
      <c r="A41" s="13"/>
      <c r="B41" s="13"/>
      <c r="C41" s="15"/>
      <c r="D41" s="19"/>
      <c r="E41" s="20"/>
      <c r="F41" s="19"/>
      <c r="G41" s="21"/>
      <c r="H41" s="21"/>
      <c r="I41" s="13"/>
    </row>
    <row r="42" spans="1:9" ht="15.75" thickBot="1">
      <c r="A42" s="13"/>
      <c r="B42" s="13"/>
      <c r="C42" s="13"/>
      <c r="D42" s="13"/>
      <c r="E42" s="13"/>
      <c r="F42" s="13"/>
      <c r="G42" s="13"/>
      <c r="H42" s="13"/>
      <c r="I42" s="13"/>
    </row>
    <row r="43" spans="1:9" ht="24" thickBot="1">
      <c r="A43" s="13"/>
      <c r="B43" s="13"/>
      <c r="C43" s="13"/>
      <c r="D43" s="13"/>
      <c r="F43" s="212"/>
      <c r="G43" s="213" t="s">
        <v>277</v>
      </c>
      <c r="H43" s="435">
        <v>8.5099999999999995E-2</v>
      </c>
      <c r="I43" s="13"/>
    </row>
    <row r="44" spans="1:9">
      <c r="A44" s="13"/>
      <c r="B44" s="13"/>
      <c r="C44" s="13"/>
      <c r="D44" s="13"/>
      <c r="E44" s="13"/>
      <c r="F44" s="13"/>
      <c r="G44" s="13"/>
      <c r="H44" s="13"/>
      <c r="I44" s="13"/>
    </row>
    <row r="45" spans="1:9" ht="23.25">
      <c r="A45" s="25" t="s">
        <v>367</v>
      </c>
      <c r="B45" s="13"/>
      <c r="C45" s="13"/>
      <c r="D45" s="13"/>
      <c r="E45" s="13"/>
      <c r="F45" s="13"/>
      <c r="G45" s="24" t="s">
        <v>0</v>
      </c>
      <c r="H45" s="13"/>
      <c r="I45" s="13"/>
    </row>
    <row r="46" spans="1:9">
      <c r="A46" s="45"/>
      <c r="B46" s="13"/>
      <c r="C46" s="13"/>
      <c r="D46" s="13"/>
      <c r="E46" s="13"/>
      <c r="F46" s="13"/>
      <c r="G46" s="13"/>
      <c r="H46" s="13"/>
      <c r="I46" s="13"/>
    </row>
    <row r="47" spans="1:9" ht="15.75">
      <c r="A47" s="65" t="s">
        <v>243</v>
      </c>
      <c r="B47" s="13"/>
      <c r="C47" s="13"/>
      <c r="D47" s="13"/>
      <c r="E47" s="13"/>
      <c r="F47" s="13"/>
      <c r="G47" s="13"/>
      <c r="H47" s="13"/>
      <c r="I47" s="13"/>
    </row>
    <row r="48" spans="1:9" ht="15.75">
      <c r="A48" s="65" t="s">
        <v>368</v>
      </c>
      <c r="B48" s="13"/>
      <c r="C48" s="13"/>
      <c r="D48" s="13"/>
      <c r="E48" s="13"/>
      <c r="F48" s="13"/>
      <c r="G48" s="13"/>
      <c r="H48" s="13"/>
      <c r="I48" s="13"/>
    </row>
    <row r="49" spans="1:9" ht="15.75">
      <c r="A49" s="65" t="s">
        <v>369</v>
      </c>
      <c r="B49" s="13"/>
      <c r="C49" s="13"/>
      <c r="D49" s="13"/>
      <c r="E49" s="13"/>
      <c r="F49" s="13"/>
      <c r="G49" s="13"/>
      <c r="H49" s="13"/>
      <c r="I49" s="13"/>
    </row>
    <row r="50" spans="1:9" ht="15.75">
      <c r="A50" s="65" t="s">
        <v>370</v>
      </c>
      <c r="B50" s="13"/>
      <c r="C50" s="13"/>
      <c r="D50" s="13"/>
      <c r="E50" s="13"/>
      <c r="F50" s="13"/>
      <c r="G50" s="13"/>
      <c r="H50" s="13"/>
      <c r="I50" s="13"/>
    </row>
    <row r="51" spans="1:9" ht="15.75">
      <c r="A51" s="65" t="s">
        <v>371</v>
      </c>
      <c r="B51" s="13"/>
      <c r="C51" s="13"/>
      <c r="D51" s="13"/>
      <c r="E51" s="13"/>
      <c r="F51" s="13"/>
      <c r="G51" s="13"/>
      <c r="H51" s="13"/>
      <c r="I51" s="13"/>
    </row>
    <row r="52" spans="1:9">
      <c r="A52" s="13"/>
      <c r="B52" s="13"/>
      <c r="C52" s="13"/>
      <c r="D52" s="13"/>
      <c r="E52" s="13"/>
      <c r="F52" s="13"/>
      <c r="G52" s="13"/>
      <c r="H52" s="13"/>
      <c r="I52" s="13"/>
    </row>
    <row r="53" spans="1:9">
      <c r="A53" s="45" t="s">
        <v>0</v>
      </c>
      <c r="B53" s="13"/>
      <c r="C53" s="13"/>
      <c r="D53" s="13"/>
      <c r="E53" s="13"/>
      <c r="F53" s="13"/>
      <c r="G53" s="13"/>
      <c r="H53" s="13"/>
      <c r="I53" s="13"/>
    </row>
    <row r="54" spans="1:9">
      <c r="A54" s="45"/>
      <c r="B54" s="13"/>
      <c r="C54" s="13"/>
      <c r="D54" s="13"/>
      <c r="E54" s="13"/>
      <c r="F54" s="13"/>
      <c r="G54" s="13"/>
      <c r="H54" s="13"/>
      <c r="I54" s="13"/>
    </row>
    <row r="55" spans="1:9">
      <c r="A55" s="13"/>
      <c r="B55" s="13"/>
      <c r="C55" s="13"/>
      <c r="D55" s="13"/>
      <c r="E55" s="13"/>
      <c r="F55" s="13"/>
      <c r="G55" s="13"/>
      <c r="H55" s="13"/>
      <c r="I55" s="13"/>
    </row>
    <row r="56" spans="1:9">
      <c r="A56" s="13"/>
      <c r="B56" s="13"/>
      <c r="C56" s="13"/>
      <c r="D56" s="13"/>
      <c r="E56" s="13"/>
      <c r="F56" s="13"/>
      <c r="G56" s="13"/>
      <c r="H56" s="13"/>
      <c r="I56" s="13"/>
    </row>
    <row r="57" spans="1:9">
      <c r="A57" s="13"/>
      <c r="B57" s="13"/>
      <c r="C57" s="13"/>
      <c r="D57" s="13"/>
      <c r="E57" s="13"/>
      <c r="F57" s="13"/>
      <c r="G57" s="13"/>
      <c r="H57" s="13"/>
      <c r="I57" s="13"/>
    </row>
    <row r="58" spans="1:9">
      <c r="A58" s="13"/>
      <c r="B58" s="13"/>
      <c r="C58" s="13"/>
      <c r="D58" s="13"/>
      <c r="E58" s="13"/>
      <c r="F58" s="13"/>
      <c r="G58" s="13"/>
      <c r="H58" s="13"/>
      <c r="I58" s="13"/>
    </row>
    <row r="59" spans="1:9">
      <c r="C59" s="13"/>
      <c r="D59" s="13"/>
      <c r="E59" s="13"/>
      <c r="F59" s="13"/>
      <c r="G59" s="13"/>
      <c r="H59" s="13"/>
      <c r="I59" s="13"/>
    </row>
    <row r="60" spans="1:9">
      <c r="C60" s="13"/>
      <c r="D60" s="13"/>
      <c r="E60" s="13"/>
      <c r="F60" s="13"/>
      <c r="G60" s="13"/>
      <c r="H60" s="13"/>
      <c r="I60" s="13"/>
    </row>
    <row r="61" spans="1:9">
      <c r="C61" s="13"/>
      <c r="D61" s="13"/>
      <c r="E61" s="13"/>
      <c r="F61" s="13"/>
      <c r="G61" s="13"/>
      <c r="H61" s="13"/>
      <c r="I61" s="13"/>
    </row>
    <row r="62" spans="1:9">
      <c r="C62" s="13"/>
      <c r="D62" s="13"/>
      <c r="E62" s="13"/>
      <c r="F62" s="13"/>
      <c r="G62" s="13"/>
      <c r="H62" s="13"/>
      <c r="I62" s="13"/>
    </row>
    <row r="63" spans="1:9">
      <c r="C63" s="13"/>
      <c r="D63" s="13"/>
      <c r="E63" s="13"/>
      <c r="F63" s="13"/>
      <c r="G63" s="13"/>
      <c r="H63" s="13"/>
      <c r="I63" s="13"/>
    </row>
    <row r="64" spans="1:9">
      <c r="C64" s="13"/>
      <c r="D64" s="13"/>
      <c r="E64" s="13"/>
      <c r="F64" s="13"/>
      <c r="G64" s="13"/>
      <c r="H64" s="13"/>
      <c r="I64" s="13"/>
    </row>
    <row r="65" spans="1:9">
      <c r="C65" s="13"/>
      <c r="D65" s="13"/>
      <c r="E65" s="13"/>
      <c r="F65" s="13"/>
      <c r="G65" s="13"/>
      <c r="H65" s="13"/>
      <c r="I65" s="13"/>
    </row>
    <row r="66" spans="1:9">
      <c r="A66" s="13"/>
      <c r="B66" s="13"/>
      <c r="C66" s="13"/>
      <c r="D66" s="13"/>
      <c r="E66" s="13"/>
      <c r="F66" s="13"/>
      <c r="G66" s="13"/>
      <c r="H66" s="13"/>
      <c r="I66" s="13"/>
    </row>
    <row r="67" spans="1:9">
      <c r="A67" s="13"/>
      <c r="B67" s="13"/>
      <c r="C67" s="13"/>
      <c r="D67" s="13"/>
      <c r="E67" s="13"/>
      <c r="F67" s="13"/>
      <c r="G67" s="13"/>
      <c r="H67" s="13"/>
      <c r="I67" s="13"/>
    </row>
    <row r="68" spans="1:9">
      <c r="A68" s="13"/>
      <c r="B68" s="13"/>
      <c r="C68" s="13"/>
      <c r="D68" s="13"/>
      <c r="E68" s="13"/>
      <c r="F68" s="13"/>
      <c r="G68" s="13"/>
      <c r="H68" s="13"/>
      <c r="I68" s="13"/>
    </row>
    <row r="69" spans="1:9">
      <c r="A69" s="13"/>
      <c r="B69" s="13"/>
      <c r="C69" s="13"/>
      <c r="D69" s="13"/>
      <c r="E69" s="13"/>
      <c r="F69" s="13"/>
      <c r="G69" s="13"/>
      <c r="H69" s="13"/>
      <c r="I69" s="13"/>
    </row>
    <row r="70" spans="1:9">
      <c r="A70" s="13"/>
      <c r="B70" s="13"/>
      <c r="C70" s="13"/>
      <c r="D70" s="13"/>
      <c r="E70" s="13"/>
      <c r="F70" s="13"/>
      <c r="G70" s="13"/>
      <c r="H70" s="13"/>
      <c r="I70" s="13"/>
    </row>
    <row r="71" spans="1:9">
      <c r="A71" s="13"/>
      <c r="B71" s="13"/>
      <c r="C71" s="13"/>
      <c r="D71" s="13"/>
      <c r="E71" s="13"/>
      <c r="F71" s="13"/>
      <c r="G71" s="13"/>
      <c r="H71" s="13"/>
      <c r="I71" s="13"/>
    </row>
    <row r="72" spans="1:9">
      <c r="A72" s="13"/>
      <c r="B72" s="13"/>
      <c r="C72" s="13"/>
      <c r="D72" s="13"/>
      <c r="E72" s="13"/>
      <c r="F72" s="13"/>
      <c r="G72" s="13"/>
      <c r="H72" s="13"/>
      <c r="I72" s="13"/>
    </row>
    <row r="73" spans="1:9">
      <c r="A73" s="13"/>
      <c r="B73" s="13"/>
      <c r="C73" s="13"/>
      <c r="D73" s="13"/>
      <c r="E73" s="13"/>
      <c r="F73" s="13"/>
      <c r="G73" s="13"/>
      <c r="H73" s="13"/>
      <c r="I73" s="13"/>
    </row>
    <row r="74" spans="1:9">
      <c r="A74" s="13"/>
      <c r="B74" s="13"/>
      <c r="C74" s="13"/>
      <c r="D74" s="13"/>
      <c r="E74" s="13"/>
      <c r="F74" s="13"/>
      <c r="G74" s="13"/>
      <c r="H74" s="13"/>
      <c r="I74" s="13"/>
    </row>
    <row r="75" spans="1:9">
      <c r="A75" s="13"/>
      <c r="B75" s="13"/>
      <c r="C75" s="13"/>
      <c r="D75" s="13"/>
      <c r="E75" s="13"/>
      <c r="F75" s="13"/>
      <c r="G75" s="13"/>
      <c r="H75" s="13"/>
      <c r="I75" s="13"/>
    </row>
    <row r="76" spans="1:9">
      <c r="A76" s="13"/>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9282-6164-4F23-8F00-A2369B6B55B2}">
  <sheetPr>
    <tabColor rgb="FF92D050"/>
  </sheetPr>
  <dimension ref="A1:N55"/>
  <sheetViews>
    <sheetView view="pageBreakPreview" zoomScale="60" zoomScaleNormal="80" workbookViewId="0">
      <selection activeCell="P19" sqref="P19"/>
    </sheetView>
  </sheetViews>
  <sheetFormatPr defaultRowHeight="15"/>
  <cols>
    <col min="1" max="1" width="21.5703125" customWidth="1"/>
    <col min="2" max="2" width="38.42578125" customWidth="1"/>
    <col min="3" max="3" width="25" customWidth="1"/>
    <col min="4" max="4" width="28.85546875" customWidth="1"/>
    <col min="5" max="5" width="22.42578125" customWidth="1"/>
    <col min="6" max="6" width="25" customWidth="1"/>
    <col min="7" max="7" width="17.28515625" customWidth="1"/>
    <col min="8" max="8" width="26.7109375" customWidth="1"/>
    <col min="9" max="9" width="25.7109375" customWidth="1"/>
    <col min="10" max="10" width="21.28515625" customWidth="1"/>
    <col min="11" max="11" width="4.42578125" customWidth="1"/>
    <col min="12" max="12" width="22.7109375" customWidth="1"/>
    <col min="13" max="13" width="17.28515625" customWidth="1"/>
  </cols>
  <sheetData>
    <row r="1" spans="1:14" ht="20.25">
      <c r="A1" s="25" t="s">
        <v>1</v>
      </c>
      <c r="C1" s="13"/>
      <c r="D1" s="13"/>
      <c r="E1" s="13"/>
      <c r="F1" s="13"/>
      <c r="G1" s="13"/>
      <c r="H1" s="13"/>
      <c r="I1" s="13"/>
      <c r="J1" s="13"/>
      <c r="K1" s="13"/>
      <c r="L1" s="13"/>
      <c r="M1" s="13"/>
      <c r="N1" s="13"/>
    </row>
    <row r="2" spans="1:14" ht="15.75">
      <c r="A2" s="65" t="s">
        <v>9</v>
      </c>
      <c r="C2" s="13"/>
      <c r="D2" s="13"/>
      <c r="E2" s="13"/>
      <c r="F2" s="13"/>
      <c r="G2" s="13"/>
      <c r="H2" s="13"/>
      <c r="I2" s="13"/>
      <c r="J2" s="13"/>
      <c r="K2" s="13"/>
      <c r="L2" s="13"/>
      <c r="M2" s="13"/>
      <c r="N2" s="13"/>
    </row>
    <row r="3" spans="1:14">
      <c r="A3" s="27" t="s">
        <v>97</v>
      </c>
      <c r="C3" s="13"/>
      <c r="D3" s="13"/>
      <c r="E3" s="13"/>
      <c r="F3" s="13"/>
      <c r="G3" s="13"/>
      <c r="H3" s="13"/>
      <c r="I3" s="13"/>
      <c r="J3" s="13"/>
      <c r="K3" s="13"/>
      <c r="L3" s="13"/>
      <c r="M3" s="13"/>
      <c r="N3" s="13"/>
    </row>
    <row r="4" spans="1:14">
      <c r="A4" s="13"/>
      <c r="C4" s="13"/>
      <c r="D4" s="13"/>
      <c r="E4" s="28" t="s">
        <v>0</v>
      </c>
      <c r="F4" s="13"/>
      <c r="G4" s="13"/>
      <c r="H4" s="13"/>
      <c r="I4" s="13"/>
      <c r="J4" s="13"/>
      <c r="K4" s="13"/>
      <c r="L4" s="13"/>
      <c r="M4" s="13"/>
      <c r="N4" s="13"/>
    </row>
    <row r="5" spans="1:14" ht="16.5" thickBot="1">
      <c r="A5" s="65"/>
      <c r="C5" s="13"/>
      <c r="D5" s="13"/>
      <c r="E5" s="13"/>
      <c r="F5" s="13"/>
      <c r="G5" s="13"/>
      <c r="H5" s="13"/>
      <c r="I5" s="13"/>
      <c r="J5" s="13"/>
      <c r="K5" s="13"/>
      <c r="L5" s="13"/>
      <c r="M5" s="13"/>
      <c r="N5" s="13"/>
    </row>
    <row r="6" spans="1:14" ht="18.75" thickBot="1">
      <c r="A6" s="29" t="str">
        <f>+'S&amp;D'!A12</f>
        <v>Electric Utilities</v>
      </c>
      <c r="B6" s="208"/>
      <c r="C6" s="13"/>
      <c r="D6" s="13"/>
      <c r="E6" s="13"/>
      <c r="F6" s="13"/>
      <c r="G6" s="13"/>
      <c r="H6" s="13"/>
    </row>
    <row r="7" spans="1:14" ht="16.5" thickBot="1">
      <c r="A7" s="65"/>
      <c r="C7" s="30"/>
      <c r="D7" s="30"/>
      <c r="E7" s="30"/>
      <c r="F7" s="30"/>
      <c r="G7" s="30"/>
      <c r="H7" s="13"/>
    </row>
    <row r="8" spans="1:14" ht="20.25">
      <c r="C8" s="13"/>
      <c r="D8" s="13"/>
      <c r="E8" s="33" t="s">
        <v>399</v>
      </c>
      <c r="F8" s="13"/>
      <c r="G8" s="13"/>
      <c r="H8" s="13"/>
    </row>
    <row r="9" spans="1:14" ht="18.75" thickBot="1">
      <c r="B9" s="32"/>
      <c r="C9" s="30"/>
      <c r="D9" s="30"/>
      <c r="E9" s="34" t="s">
        <v>111</v>
      </c>
      <c r="F9" s="30"/>
      <c r="G9" s="30"/>
      <c r="H9" s="13"/>
    </row>
    <row r="10" spans="1:14" ht="21.75" customHeight="1" thickBot="1">
      <c r="B10" s="35" t="s">
        <v>0</v>
      </c>
      <c r="C10" s="35" t="s">
        <v>0</v>
      </c>
      <c r="D10" s="35" t="s">
        <v>0</v>
      </c>
      <c r="E10" s="35" t="s">
        <v>0</v>
      </c>
      <c r="F10" s="35" t="s">
        <v>0</v>
      </c>
      <c r="G10" s="35" t="s">
        <v>0</v>
      </c>
      <c r="H10" s="30"/>
      <c r="I10" s="167"/>
      <c r="J10" s="167"/>
    </row>
    <row r="11" spans="1:14">
      <c r="B11" s="36" t="s">
        <v>0</v>
      </c>
      <c r="C11" s="36" t="s">
        <v>3</v>
      </c>
      <c r="D11" s="36" t="s">
        <v>0</v>
      </c>
      <c r="E11" s="36" t="s">
        <v>400</v>
      </c>
      <c r="F11" s="36" t="s">
        <v>272</v>
      </c>
      <c r="G11" s="36" t="s">
        <v>27</v>
      </c>
      <c r="H11" s="36" t="s">
        <v>401</v>
      </c>
      <c r="I11" s="36" t="s">
        <v>401</v>
      </c>
      <c r="J11" s="36" t="s">
        <v>27</v>
      </c>
    </row>
    <row r="12" spans="1:14" ht="15.75" thickBot="1">
      <c r="B12" s="38" t="s">
        <v>2</v>
      </c>
      <c r="C12" s="38" t="s">
        <v>4</v>
      </c>
      <c r="D12" s="38" t="s">
        <v>28</v>
      </c>
      <c r="E12" s="38" t="s">
        <v>206</v>
      </c>
      <c r="F12" s="38" t="s">
        <v>402</v>
      </c>
      <c r="G12" s="38" t="s">
        <v>30</v>
      </c>
      <c r="H12" s="38" t="s">
        <v>427</v>
      </c>
      <c r="I12" s="38" t="s">
        <v>29</v>
      </c>
      <c r="J12" s="38" t="s">
        <v>30</v>
      </c>
    </row>
    <row r="13" spans="1:14">
      <c r="B13" s="40" t="s">
        <v>0</v>
      </c>
      <c r="C13" s="40" t="s">
        <v>0</v>
      </c>
      <c r="D13" s="41" t="s">
        <v>150</v>
      </c>
      <c r="E13" s="40" t="s">
        <v>151</v>
      </c>
      <c r="F13" s="40" t="s">
        <v>0</v>
      </c>
      <c r="G13" s="40" t="s">
        <v>0</v>
      </c>
      <c r="H13" s="40" t="s">
        <v>151</v>
      </c>
      <c r="I13" s="40" t="s">
        <v>0</v>
      </c>
      <c r="J13" s="40" t="s">
        <v>0</v>
      </c>
    </row>
    <row r="14" spans="1:14">
      <c r="B14" s="36"/>
      <c r="C14" s="36"/>
      <c r="D14" s="36"/>
      <c r="E14" s="36"/>
      <c r="F14" s="36"/>
      <c r="G14" s="36"/>
      <c r="H14" s="36"/>
      <c r="I14" s="36"/>
      <c r="J14" s="36"/>
    </row>
    <row r="15" spans="1:14">
      <c r="B15" s="13"/>
      <c r="C15" s="13"/>
      <c r="D15" s="13"/>
      <c r="E15" s="13"/>
      <c r="F15" s="13"/>
      <c r="G15" s="13"/>
      <c r="H15" s="13"/>
      <c r="I15" s="13"/>
      <c r="J15" s="13"/>
    </row>
    <row r="16" spans="1:14" ht="15.75">
      <c r="B16" s="65" t="str">
        <f>+'S&amp;D'!A22</f>
        <v>ALLETE Inc</v>
      </c>
      <c r="C16" s="93" t="str">
        <f>+'S&amp;D'!B22</f>
        <v>ALE</v>
      </c>
      <c r="D16" s="202">
        <f>+'S&amp;D'!G22</f>
        <v>64.510000000000005</v>
      </c>
      <c r="E16" s="322">
        <v>28.04</v>
      </c>
      <c r="F16" s="74">
        <f>D16/E16</f>
        <v>2.3006419400855922</v>
      </c>
      <c r="G16" s="59">
        <f t="shared" ref="G16:G31" si="0">1/F16</f>
        <v>0.43466129282281812</v>
      </c>
      <c r="H16" s="322">
        <v>47.06</v>
      </c>
      <c r="I16" s="376">
        <f t="shared" ref="I16:I31" si="1">D16/H16</f>
        <v>1.3708032299192521</v>
      </c>
      <c r="J16" s="59">
        <f t="shared" ref="J16:J31" si="2">1/I16</f>
        <v>0.72949930243373118</v>
      </c>
    </row>
    <row r="17" spans="2:10" ht="15.75">
      <c r="B17" s="65" t="str">
        <f>+'S&amp;D'!A23</f>
        <v>Alliant Energy</v>
      </c>
      <c r="C17" s="93" t="str">
        <f>+'S&amp;D'!B23</f>
        <v>LNT</v>
      </c>
      <c r="D17" s="202">
        <f>+'S&amp;D'!G23</f>
        <v>55.21</v>
      </c>
      <c r="E17" s="322">
        <v>16.739999999999998</v>
      </c>
      <c r="F17" s="376">
        <f t="shared" ref="F17:F20" si="3">D17/E17</f>
        <v>3.2980884109916371</v>
      </c>
      <c r="G17" s="59">
        <f t="shared" si="0"/>
        <v>0.30320594095272591</v>
      </c>
      <c r="H17" s="322">
        <v>24.99</v>
      </c>
      <c r="I17" s="74">
        <f t="shared" si="1"/>
        <v>2.2092837134853944</v>
      </c>
      <c r="J17" s="59">
        <f t="shared" si="2"/>
        <v>0.4526353921391052</v>
      </c>
    </row>
    <row r="18" spans="2:10" ht="15.75">
      <c r="B18" s="65" t="str">
        <f>+'S&amp;D'!A24</f>
        <v>AMEREN Corporation</v>
      </c>
      <c r="C18" s="93" t="str">
        <f>+'S&amp;D'!B24</f>
        <v>AEE</v>
      </c>
      <c r="D18" s="202">
        <f>+'S&amp;D'!G24</f>
        <v>88.92</v>
      </c>
      <c r="E18" s="322">
        <v>30.37</v>
      </c>
      <c r="F18" s="74">
        <f t="shared" si="3"/>
        <v>2.9278893645044453</v>
      </c>
      <c r="G18" s="59">
        <f t="shared" si="0"/>
        <v>0.34154295996401257</v>
      </c>
      <c r="H18" s="322">
        <v>40.11</v>
      </c>
      <c r="I18" s="74">
        <f t="shared" si="1"/>
        <v>2.2169035153328349</v>
      </c>
      <c r="J18" s="59">
        <f t="shared" si="2"/>
        <v>0.45107962213225367</v>
      </c>
    </row>
    <row r="19" spans="2:10" ht="15.75">
      <c r="B19" s="65" t="str">
        <f>+'S&amp;D'!A25</f>
        <v>American Electric Power</v>
      </c>
      <c r="C19" s="93" t="str">
        <f>+'S&amp;D'!B25</f>
        <v>AEP</v>
      </c>
      <c r="D19" s="202">
        <f>+'S&amp;D'!G25</f>
        <v>94.95</v>
      </c>
      <c r="E19" s="322">
        <v>38.200000000000003</v>
      </c>
      <c r="F19" s="74">
        <f>D19/E19</f>
        <v>2.4856020942408374</v>
      </c>
      <c r="G19" s="59">
        <f t="shared" si="0"/>
        <v>0.40231700895208006</v>
      </c>
      <c r="H19" s="322">
        <v>46.6</v>
      </c>
      <c r="I19" s="74">
        <f t="shared" si="1"/>
        <v>2.0375536480686693</v>
      </c>
      <c r="J19" s="59">
        <f t="shared" si="2"/>
        <v>0.49078462348604535</v>
      </c>
    </row>
    <row r="20" spans="2:10" ht="15.75">
      <c r="B20" s="65" t="str">
        <f>+'S&amp;D'!A26</f>
        <v>Centerpoint Energy</v>
      </c>
      <c r="C20" s="93" t="str">
        <f>+'S&amp;D'!B26</f>
        <v>CNP</v>
      </c>
      <c r="D20" s="202">
        <f>+'S&amp;D'!G26</f>
        <v>29.99</v>
      </c>
      <c r="E20" s="322">
        <v>14.8</v>
      </c>
      <c r="F20" s="74">
        <f t="shared" si="3"/>
        <v>2.0263513513513511</v>
      </c>
      <c r="G20" s="59">
        <f t="shared" si="0"/>
        <v>0.49349783261087032</v>
      </c>
      <c r="H20" s="322">
        <v>15.95</v>
      </c>
      <c r="I20" s="74">
        <f t="shared" si="1"/>
        <v>1.8802507836990596</v>
      </c>
      <c r="J20" s="59">
        <f t="shared" si="2"/>
        <v>0.53184394798266088</v>
      </c>
    </row>
    <row r="21" spans="2:10" ht="15.75">
      <c r="B21" s="65" t="str">
        <f>+'S&amp;D'!A27</f>
        <v>CMS Energy</v>
      </c>
      <c r="C21" s="93" t="str">
        <f>+'S&amp;D'!B27</f>
        <v>CMS</v>
      </c>
      <c r="D21" s="202">
        <f>+'S&amp;D'!G27</f>
        <v>63.33</v>
      </c>
      <c r="E21" s="322">
        <v>29.5</v>
      </c>
      <c r="F21" s="74">
        <f t="shared" ref="F21:F26" si="4">D21/E21</f>
        <v>2.1467796610169492</v>
      </c>
      <c r="G21" s="59">
        <f t="shared" si="0"/>
        <v>0.46581399021001108</v>
      </c>
      <c r="H21" s="322">
        <v>24.1</v>
      </c>
      <c r="I21" s="74">
        <f t="shared" si="1"/>
        <v>2.6278008298755187</v>
      </c>
      <c r="J21" s="59">
        <f t="shared" si="2"/>
        <v>0.38054634454444969</v>
      </c>
    </row>
    <row r="22" spans="2:10" ht="15.75">
      <c r="B22" s="65" t="str">
        <f>+'S&amp;D'!A28</f>
        <v>DTE Energy</v>
      </c>
      <c r="C22" s="93" t="str">
        <f>+'S&amp;D'!B28</f>
        <v>DTE</v>
      </c>
      <c r="D22" s="202">
        <f>+'S&amp;D'!G28</f>
        <v>117.53</v>
      </c>
      <c r="E22" s="325">
        <v>93.48</v>
      </c>
      <c r="F22" s="376">
        <f t="shared" si="4"/>
        <v>1.2572742832691484</v>
      </c>
      <c r="G22" s="59">
        <f t="shared" si="0"/>
        <v>0.795371394537565</v>
      </c>
      <c r="H22" s="322">
        <v>46.35</v>
      </c>
      <c r="I22" s="74">
        <f t="shared" si="1"/>
        <v>2.5357065803667744</v>
      </c>
      <c r="J22" s="59">
        <f t="shared" si="2"/>
        <v>0.3943673955585808</v>
      </c>
    </row>
    <row r="23" spans="2:10" ht="15.75">
      <c r="B23" s="65" t="str">
        <f>+'S&amp;D'!A29</f>
        <v>Duke Energy</v>
      </c>
      <c r="C23" s="93" t="str">
        <f>+'S&amp;D'!B29</f>
        <v>DUK</v>
      </c>
      <c r="D23" s="202">
        <f>+'S&amp;D'!G29</f>
        <v>102.99</v>
      </c>
      <c r="E23" s="322">
        <v>35.700000000000003</v>
      </c>
      <c r="F23" s="74">
        <f t="shared" si="4"/>
        <v>2.8848739495798315</v>
      </c>
      <c r="G23" s="59">
        <f t="shared" si="0"/>
        <v>0.3466355956889019</v>
      </c>
      <c r="H23" s="325">
        <v>62.75</v>
      </c>
      <c r="I23" s="74">
        <f t="shared" si="1"/>
        <v>1.6412749003984064</v>
      </c>
      <c r="J23" s="59">
        <f t="shared" si="2"/>
        <v>0.6092824546072434</v>
      </c>
    </row>
    <row r="24" spans="2:10" ht="15.75">
      <c r="B24" s="65" t="str">
        <f>+'S&amp;D'!A30</f>
        <v>Entergy Corp</v>
      </c>
      <c r="C24" s="93" t="str">
        <f>+'S&amp;D'!B30</f>
        <v>ETR</v>
      </c>
      <c r="D24" s="202">
        <f>+'S&amp;D'!G30</f>
        <v>112.5</v>
      </c>
      <c r="E24" s="322">
        <v>65.180000000000007</v>
      </c>
      <c r="F24" s="74">
        <f t="shared" si="4"/>
        <v>1.7259895673519483</v>
      </c>
      <c r="G24" s="59">
        <f t="shared" si="0"/>
        <v>0.57937777777777788</v>
      </c>
      <c r="H24" s="322">
        <v>61.4</v>
      </c>
      <c r="I24" s="74">
        <f t="shared" si="1"/>
        <v>1.8322475570032575</v>
      </c>
      <c r="J24" s="59">
        <f t="shared" si="2"/>
        <v>0.5457777777777777</v>
      </c>
    </row>
    <row r="25" spans="2:10" ht="15.75">
      <c r="B25" s="65" t="str">
        <f>+'S&amp;D'!A31</f>
        <v>Evergy Inc</v>
      </c>
      <c r="C25" s="93" t="str">
        <f>+'S&amp;D'!B31</f>
        <v>EVRG</v>
      </c>
      <c r="D25" s="202">
        <f>+'S&amp;D'!G31</f>
        <v>62.93</v>
      </c>
      <c r="E25" s="322">
        <v>25.49</v>
      </c>
      <c r="F25" s="74">
        <f t="shared" si="4"/>
        <v>2.4688112985484505</v>
      </c>
      <c r="G25" s="59">
        <f t="shared" si="0"/>
        <v>0.4050532337517877</v>
      </c>
      <c r="H25" s="322">
        <v>41.86</v>
      </c>
      <c r="I25" s="74">
        <f t="shared" si="1"/>
        <v>1.5033444816053512</v>
      </c>
      <c r="J25" s="59">
        <f t="shared" si="2"/>
        <v>0.66518353726362622</v>
      </c>
    </row>
    <row r="26" spans="2:10" ht="16.5" customHeight="1">
      <c r="B26" s="65" t="str">
        <f>+'S&amp;D'!A32</f>
        <v>FirstEnergy Corp</v>
      </c>
      <c r="C26" s="93" t="str">
        <f>+'S&amp;D'!B32</f>
        <v>FE</v>
      </c>
      <c r="D26" s="202">
        <f>+'S&amp;D'!G32</f>
        <v>41.94</v>
      </c>
      <c r="E26" s="322">
        <v>21</v>
      </c>
      <c r="F26" s="74">
        <f t="shared" si="4"/>
        <v>1.9971428571428571</v>
      </c>
      <c r="G26" s="59">
        <f t="shared" si="0"/>
        <v>0.50071530758226035</v>
      </c>
      <c r="H26" s="325">
        <v>15.75</v>
      </c>
      <c r="I26" s="376">
        <f t="shared" si="1"/>
        <v>2.6628571428571428</v>
      </c>
      <c r="J26" s="59">
        <f t="shared" si="2"/>
        <v>0.37553648068669526</v>
      </c>
    </row>
    <row r="27" spans="2:10" ht="15.75">
      <c r="B27" s="65" t="str">
        <f>+'S&amp;D'!A33</f>
        <v>OGE Energy Corp.</v>
      </c>
      <c r="C27" s="93" t="str">
        <f>+'S&amp;D'!B33</f>
        <v>OGE</v>
      </c>
      <c r="D27" s="202">
        <f>+'S&amp;D'!G33</f>
        <v>39.549999999999997</v>
      </c>
      <c r="E27" s="322">
        <v>16.86</v>
      </c>
      <c r="F27" s="74">
        <f t="shared" ref="F27:F31" si="5">D27/E27</f>
        <v>2.345788849347568</v>
      </c>
      <c r="G27" s="59">
        <f t="shared" si="0"/>
        <v>0.42629582806573962</v>
      </c>
      <c r="H27" s="322">
        <v>21.95</v>
      </c>
      <c r="I27" s="74">
        <f t="shared" si="1"/>
        <v>1.8018223234624144</v>
      </c>
      <c r="J27" s="59">
        <f t="shared" si="2"/>
        <v>0.55499367888748419</v>
      </c>
    </row>
    <row r="28" spans="2:10" ht="15.75">
      <c r="B28" s="65" t="str">
        <f>+'S&amp;D'!A34</f>
        <v>Otter Tail Corp</v>
      </c>
      <c r="C28" s="93" t="str">
        <f>+'S&amp;D'!B34</f>
        <v>OTTR</v>
      </c>
      <c r="D28" s="202">
        <f>+'S&amp;D'!G34</f>
        <v>58.71</v>
      </c>
      <c r="E28" s="322">
        <v>35.08</v>
      </c>
      <c r="F28" s="74">
        <f t="shared" si="5"/>
        <v>1.6736031927023947</v>
      </c>
      <c r="G28" s="59">
        <f t="shared" si="0"/>
        <v>0.59751320047692036</v>
      </c>
      <c r="H28" s="322">
        <v>29.24</v>
      </c>
      <c r="I28" s="74">
        <f t="shared" si="1"/>
        <v>2.0078659370725034</v>
      </c>
      <c r="J28" s="59">
        <f t="shared" si="2"/>
        <v>0.4980412195537387</v>
      </c>
    </row>
    <row r="29" spans="2:10" ht="15.75">
      <c r="B29" s="65" t="str">
        <f>+'S&amp;D'!A35</f>
        <v>PPL Corporation</v>
      </c>
      <c r="C29" s="93" t="str">
        <f>+'S&amp;D'!B35</f>
        <v>PPL</v>
      </c>
      <c r="D29" s="202">
        <f>+'S&amp;D'!G35</f>
        <v>29.22</v>
      </c>
      <c r="E29" s="325">
        <v>9.8000000000000007</v>
      </c>
      <c r="F29" s="74">
        <f t="shared" si="5"/>
        <v>2.981632653061224</v>
      </c>
      <c r="G29" s="59">
        <f t="shared" si="0"/>
        <v>0.33538672142368248</v>
      </c>
      <c r="H29" s="322">
        <v>19.05</v>
      </c>
      <c r="I29" s="74">
        <f t="shared" si="1"/>
        <v>1.5338582677165353</v>
      </c>
      <c r="J29" s="59">
        <f t="shared" si="2"/>
        <v>0.65195071868583165</v>
      </c>
    </row>
    <row r="30" spans="2:10" ht="15.75">
      <c r="B30" s="65" t="str">
        <f>+'S&amp;D'!A36</f>
        <v>The Southern Company</v>
      </c>
      <c r="C30" s="93" t="str">
        <f>+'S&amp;D'!B36</f>
        <v>SO</v>
      </c>
      <c r="D30" s="202">
        <f>+'S&amp;D'!G36</f>
        <v>71.41</v>
      </c>
      <c r="E30" s="322">
        <v>24.3</v>
      </c>
      <c r="F30" s="74">
        <f t="shared" si="5"/>
        <v>2.9386831275720162</v>
      </c>
      <c r="G30" s="59">
        <f t="shared" si="0"/>
        <v>0.34028847500350096</v>
      </c>
      <c r="H30" s="322">
        <v>27.05</v>
      </c>
      <c r="I30" s="74">
        <f t="shared" si="1"/>
        <v>2.6399260628465804</v>
      </c>
      <c r="J30" s="59">
        <f t="shared" si="2"/>
        <v>0.37879848760677776</v>
      </c>
    </row>
    <row r="31" spans="2:10" ht="15.75">
      <c r="B31" s="65" t="str">
        <f>+'S&amp;D'!A37</f>
        <v>WEC Energy Group</v>
      </c>
      <c r="C31" s="93" t="str">
        <f>+'S&amp;D'!B37</f>
        <v>WEC</v>
      </c>
      <c r="D31" s="202">
        <f>+'S&amp;D'!G37</f>
        <v>93.76</v>
      </c>
      <c r="E31" s="322">
        <v>30.43</v>
      </c>
      <c r="F31" s="74">
        <f t="shared" si="5"/>
        <v>3.0811698981268485</v>
      </c>
      <c r="G31" s="59">
        <f t="shared" si="0"/>
        <v>0.32455204778156999</v>
      </c>
      <c r="H31" s="322">
        <v>36.76</v>
      </c>
      <c r="I31" s="74">
        <f t="shared" si="1"/>
        <v>2.5505984766050056</v>
      </c>
      <c r="J31" s="59">
        <f t="shared" si="2"/>
        <v>0.39206484641638223</v>
      </c>
    </row>
    <row r="32" spans="2:10" ht="10.5" customHeight="1" thickBot="1">
      <c r="B32" s="13"/>
      <c r="C32" s="73"/>
      <c r="D32" s="73"/>
      <c r="E32" s="73"/>
      <c r="F32" s="73"/>
      <c r="G32" s="311"/>
      <c r="H32" s="73"/>
      <c r="I32" s="73"/>
      <c r="J32" s="311"/>
    </row>
    <row r="33" spans="1:10" ht="15.75" thickTop="1">
      <c r="B33" s="13"/>
      <c r="D33" s="15" t="s">
        <v>65</v>
      </c>
      <c r="E33" s="17">
        <v>93.48</v>
      </c>
      <c r="F33" s="339">
        <v>3.3</v>
      </c>
      <c r="G33" s="17">
        <v>72.95</v>
      </c>
      <c r="H33" s="17">
        <v>62.75</v>
      </c>
      <c r="I33" s="17">
        <v>2.66</v>
      </c>
      <c r="J33" s="17">
        <v>72.95</v>
      </c>
    </row>
    <row r="34" spans="1:10">
      <c r="B34" s="13"/>
      <c r="D34" s="15" t="s">
        <v>66</v>
      </c>
      <c r="E34" s="329">
        <v>9.8000000000000007</v>
      </c>
      <c r="F34" s="345">
        <v>1.26</v>
      </c>
      <c r="G34" s="329">
        <v>37.549999999999997</v>
      </c>
      <c r="H34" s="329">
        <v>15.75</v>
      </c>
      <c r="I34" s="329">
        <v>1.37</v>
      </c>
      <c r="J34" s="329">
        <v>37.549999999999997</v>
      </c>
    </row>
    <row r="35" spans="1:10">
      <c r="B35" s="13"/>
      <c r="D35" s="15" t="s">
        <v>18</v>
      </c>
      <c r="E35" s="59" t="s">
        <v>0</v>
      </c>
      <c r="F35" s="22">
        <f>MEDIAN(F16:F31)</f>
        <v>2.4073000739480093</v>
      </c>
      <c r="G35" s="59">
        <f>MEDIAN(G16:G31)</f>
        <v>0.41567453090876366</v>
      </c>
      <c r="H35" s="59" t="s">
        <v>0</v>
      </c>
      <c r="I35" s="22">
        <f>MEDIAN(I16:I31)</f>
        <v>2.0227097925705864</v>
      </c>
      <c r="J35" s="59">
        <f>MEDIAN(J16:J31)</f>
        <v>0.49441292151989202</v>
      </c>
    </row>
    <row r="36" spans="1:10">
      <c r="B36" s="13"/>
      <c r="D36" s="15" t="s">
        <v>19</v>
      </c>
      <c r="E36" s="75" t="s">
        <v>0</v>
      </c>
      <c r="F36" s="22">
        <f>AVERAGE(F16:F31)</f>
        <v>2.4087701561808181</v>
      </c>
      <c r="G36" s="59">
        <f>AVERAGE(G16:G31)</f>
        <v>0.44326428797513895</v>
      </c>
      <c r="H36" s="75" t="s">
        <v>0</v>
      </c>
      <c r="I36" s="22">
        <f>AVERAGE(I16:I31)</f>
        <v>2.0657560906446686</v>
      </c>
      <c r="J36" s="59">
        <f>AVERAGE(J16:J31)</f>
        <v>0.50639911436014906</v>
      </c>
    </row>
    <row r="37" spans="1:10" ht="15.75" thickBot="1">
      <c r="B37" s="13"/>
      <c r="C37" s="13"/>
      <c r="D37" s="13"/>
      <c r="E37" s="13"/>
      <c r="F37" s="13"/>
      <c r="H37" s="13"/>
      <c r="I37" s="13"/>
    </row>
    <row r="38" spans="1:10" ht="21" thickBot="1">
      <c r="B38" s="77" t="s">
        <v>0</v>
      </c>
      <c r="C38" s="13"/>
      <c r="D38" s="25" t="s">
        <v>161</v>
      </c>
      <c r="E38" s="25"/>
      <c r="F38" s="388">
        <v>2.41</v>
      </c>
      <c r="I38" s="388">
        <v>2.0699999999999998</v>
      </c>
    </row>
    <row r="39" spans="1:10" ht="16.5">
      <c r="B39" s="77" t="s">
        <v>0</v>
      </c>
      <c r="C39" s="13"/>
      <c r="D39" s="13"/>
      <c r="E39" s="13"/>
      <c r="F39" s="13"/>
      <c r="G39" s="13"/>
      <c r="H39" s="13"/>
    </row>
    <row r="40" spans="1:10" ht="16.5">
      <c r="B40" s="77"/>
      <c r="C40" s="13"/>
      <c r="D40" s="13"/>
      <c r="E40" s="13"/>
      <c r="F40" s="13"/>
      <c r="G40" s="13"/>
      <c r="H40" s="13"/>
    </row>
    <row r="41" spans="1:10" ht="16.5">
      <c r="A41" s="115" t="s">
        <v>403</v>
      </c>
      <c r="B41" s="77"/>
      <c r="C41" s="13"/>
      <c r="D41" s="13"/>
      <c r="E41" s="13"/>
      <c r="F41" s="13"/>
      <c r="G41" s="13"/>
      <c r="H41" s="13"/>
    </row>
    <row r="42" spans="1:10" ht="16.5">
      <c r="A42" s="115" t="s">
        <v>404</v>
      </c>
      <c r="B42" s="77"/>
      <c r="C42" s="13"/>
      <c r="D42" s="13"/>
      <c r="E42" s="13"/>
      <c r="F42" s="13"/>
      <c r="G42" s="13"/>
      <c r="H42" s="13"/>
    </row>
    <row r="43" spans="1:10">
      <c r="H43" s="13"/>
    </row>
    <row r="44" spans="1:10" ht="15.75">
      <c r="A44" s="115" t="s">
        <v>405</v>
      </c>
      <c r="H44" s="13"/>
    </row>
    <row r="45" spans="1:10" ht="15.75">
      <c r="A45" s="115" t="s">
        <v>406</v>
      </c>
    </row>
    <row r="46" spans="1:10" ht="15.75">
      <c r="A46" s="115" t="s">
        <v>407</v>
      </c>
    </row>
    <row r="53" spans="1:3" ht="15.75">
      <c r="A53" s="115"/>
      <c r="C53" s="299" t="s">
        <v>0</v>
      </c>
    </row>
    <row r="54" spans="1:3" ht="15.75">
      <c r="C54" s="299" t="s">
        <v>0</v>
      </c>
    </row>
    <row r="55" spans="1:3" ht="15.75">
      <c r="C55" s="299" t="s">
        <v>0</v>
      </c>
    </row>
  </sheetData>
  <pageMargins left="0.25" right="0.25" top="0.75" bottom="0.75" header="0.3" footer="0.3"/>
  <pageSetup scale="42" orientation="landscape" r:id="rId1"/>
  <rowBreaks count="1" manualBreakCount="1">
    <brk id="4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5" sqref="G15"/>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5" t="s">
        <v>1</v>
      </c>
      <c r="C1" s="13"/>
      <c r="D1" s="13"/>
      <c r="E1" s="13"/>
      <c r="F1" s="13"/>
      <c r="G1" s="13"/>
      <c r="H1" s="13"/>
      <c r="I1" s="13"/>
      <c r="J1" s="13"/>
      <c r="K1" s="13"/>
    </row>
    <row r="2" spans="1:11" ht="15.75">
      <c r="A2" s="26" t="s">
        <v>9</v>
      </c>
      <c r="C2" s="13"/>
      <c r="D2" s="13"/>
      <c r="E2" s="13"/>
      <c r="F2" s="13"/>
      <c r="G2" s="13"/>
      <c r="H2" s="13"/>
      <c r="I2" s="13"/>
      <c r="J2" s="13"/>
      <c r="K2" s="13"/>
    </row>
    <row r="3" spans="1:11" ht="17.25" customHeight="1">
      <c r="A3" s="27" t="s">
        <v>97</v>
      </c>
      <c r="C3" s="13"/>
      <c r="D3" s="13"/>
      <c r="E3" s="13"/>
      <c r="F3" s="13"/>
      <c r="G3" s="13"/>
      <c r="H3" s="13"/>
      <c r="I3" s="13"/>
      <c r="J3" s="13"/>
      <c r="K3" s="13"/>
    </row>
    <row r="4" spans="1:11" ht="17.25" customHeight="1">
      <c r="B4" s="27"/>
      <c r="C4" s="13"/>
      <c r="D4" s="13"/>
      <c r="E4" s="13"/>
      <c r="F4" s="13"/>
      <c r="G4" s="13"/>
      <c r="H4" s="13"/>
      <c r="I4" s="13"/>
      <c r="J4" s="13"/>
      <c r="K4" s="13"/>
    </row>
    <row r="5" spans="1:11" ht="17.25" customHeight="1">
      <c r="B5" s="161"/>
      <c r="C5" s="13"/>
      <c r="D5" s="13"/>
      <c r="E5" s="13"/>
      <c r="F5" s="13"/>
      <c r="G5" s="13"/>
      <c r="H5" s="13"/>
      <c r="I5" s="13"/>
      <c r="J5" s="13"/>
      <c r="K5" s="13"/>
    </row>
    <row r="6" spans="1:11" ht="17.25" customHeight="1">
      <c r="B6" s="161"/>
      <c r="C6" s="13"/>
      <c r="D6" s="13"/>
      <c r="E6" s="13"/>
      <c r="F6" s="13"/>
      <c r="G6" s="13"/>
      <c r="H6" s="13"/>
      <c r="I6" s="13"/>
      <c r="J6" s="13"/>
      <c r="K6" s="13"/>
    </row>
    <row r="7" spans="1:11" ht="17.25" customHeight="1">
      <c r="B7" s="161"/>
      <c r="C7" s="13"/>
      <c r="D7" s="13"/>
      <c r="E7" s="13"/>
      <c r="F7" s="13"/>
      <c r="G7" s="13"/>
      <c r="H7" s="13"/>
      <c r="I7" s="13"/>
      <c r="J7" s="13"/>
      <c r="K7" s="13"/>
    </row>
    <row r="8" spans="1:11">
      <c r="B8" s="27"/>
      <c r="C8" s="13"/>
      <c r="D8" s="13"/>
      <c r="E8" s="13"/>
      <c r="F8" s="13"/>
      <c r="G8" s="13"/>
      <c r="H8" s="13"/>
      <c r="I8" s="13"/>
      <c r="J8" s="13"/>
      <c r="K8" s="13"/>
    </row>
    <row r="9" spans="1:11" ht="18">
      <c r="B9" s="13"/>
      <c r="C9" s="13"/>
      <c r="D9" s="80" t="s">
        <v>0</v>
      </c>
      <c r="E9" s="13"/>
      <c r="F9" s="13"/>
      <c r="G9" s="13"/>
      <c r="H9" s="13"/>
      <c r="I9" s="13"/>
      <c r="J9" s="13"/>
      <c r="K9" s="13"/>
    </row>
    <row r="10" spans="1:11" ht="18">
      <c r="B10" s="13"/>
      <c r="C10" s="13"/>
      <c r="D10" s="80" t="s">
        <v>99</v>
      </c>
      <c r="E10" s="13"/>
      <c r="F10" s="13"/>
      <c r="G10" s="13"/>
      <c r="H10" s="13"/>
      <c r="I10" s="13"/>
      <c r="J10" s="13"/>
      <c r="K10" s="13"/>
    </row>
    <row r="11" spans="1:11">
      <c r="B11" s="13"/>
      <c r="C11" s="13"/>
      <c r="D11" s="13"/>
      <c r="E11" s="13"/>
      <c r="F11" s="13"/>
      <c r="G11" s="13"/>
      <c r="H11" s="13"/>
      <c r="I11" s="13"/>
      <c r="J11" s="13"/>
      <c r="K11" s="13"/>
    </row>
    <row r="12" spans="1:11">
      <c r="B12" s="13"/>
      <c r="C12" s="13"/>
      <c r="D12" s="13"/>
      <c r="E12" s="13"/>
      <c r="F12" s="13"/>
      <c r="G12" s="13"/>
      <c r="H12" s="13"/>
      <c r="I12" s="13"/>
      <c r="J12" s="13"/>
      <c r="K12" s="13"/>
    </row>
    <row r="13" spans="1:11">
      <c r="B13" s="13"/>
      <c r="C13" s="13"/>
      <c r="D13" s="13"/>
      <c r="E13" s="28"/>
      <c r="F13" s="13"/>
      <c r="G13" s="13"/>
      <c r="H13" s="13"/>
      <c r="I13" s="13"/>
      <c r="J13" s="13"/>
      <c r="K13" s="13"/>
    </row>
    <row r="14" spans="1:11">
      <c r="B14" s="13"/>
      <c r="C14" s="13"/>
      <c r="D14" s="13"/>
      <c r="E14" s="13"/>
      <c r="F14" s="13"/>
      <c r="G14" s="13"/>
      <c r="H14" s="13"/>
      <c r="I14" s="13"/>
      <c r="J14" s="13"/>
      <c r="K14" s="13"/>
    </row>
    <row r="15" spans="1:11" ht="15.75" thickBot="1">
      <c r="B15" s="13"/>
      <c r="C15" s="30"/>
      <c r="D15" s="30"/>
      <c r="E15" s="30"/>
      <c r="F15" s="13"/>
      <c r="G15" s="13"/>
      <c r="H15" s="13"/>
      <c r="I15" s="13"/>
      <c r="J15" s="13"/>
      <c r="K15" s="13"/>
    </row>
    <row r="16" spans="1:11" ht="20.25">
      <c r="B16" s="13"/>
      <c r="C16" s="13"/>
      <c r="D16" s="33" t="str">
        <f>+'S&amp;D'!A12</f>
        <v>Electric Utilities</v>
      </c>
      <c r="E16" s="13"/>
      <c r="F16" s="13"/>
      <c r="G16" s="13"/>
      <c r="H16" s="13"/>
      <c r="I16" s="13"/>
      <c r="J16" s="13"/>
      <c r="K16" s="13"/>
    </row>
    <row r="17" spans="2:11" ht="15.75" thickBot="1">
      <c r="B17" s="13"/>
      <c r="C17" s="30"/>
      <c r="D17" s="38" t="s">
        <v>0</v>
      </c>
      <c r="E17" s="30"/>
      <c r="F17" s="13"/>
      <c r="G17" s="13"/>
      <c r="H17" s="13"/>
      <c r="I17" s="13"/>
      <c r="J17" s="13"/>
      <c r="K17" s="13"/>
    </row>
    <row r="18" spans="2:11" ht="15.75" thickBot="1">
      <c r="B18" s="30"/>
      <c r="C18" s="30"/>
      <c r="D18" s="38" t="s">
        <v>0</v>
      </c>
      <c r="E18" s="30"/>
      <c r="F18" s="30"/>
      <c r="G18" s="30"/>
      <c r="H18" s="13"/>
      <c r="I18" s="13"/>
      <c r="J18" s="13"/>
      <c r="K18" s="13"/>
    </row>
    <row r="19" spans="2:11">
      <c r="B19" s="36" t="s">
        <v>32</v>
      </c>
      <c r="C19" s="36" t="s">
        <v>33</v>
      </c>
      <c r="D19" s="36" t="s">
        <v>34</v>
      </c>
      <c r="E19" s="36" t="s">
        <v>103</v>
      </c>
      <c r="F19" s="36" t="s">
        <v>34</v>
      </c>
      <c r="G19" s="36" t="s">
        <v>35</v>
      </c>
      <c r="H19" s="13"/>
      <c r="I19" s="13"/>
      <c r="J19" s="13"/>
      <c r="K19" s="13"/>
    </row>
    <row r="20" spans="2:11" ht="15.75" thickBot="1">
      <c r="B20" s="38" t="s">
        <v>33</v>
      </c>
      <c r="C20" s="38" t="s">
        <v>36</v>
      </c>
      <c r="D20" s="38" t="s">
        <v>37</v>
      </c>
      <c r="E20" s="38" t="s">
        <v>23</v>
      </c>
      <c r="F20" s="38" t="s">
        <v>38</v>
      </c>
      <c r="G20" s="38" t="s">
        <v>39</v>
      </c>
      <c r="H20" s="13"/>
      <c r="I20" s="13"/>
      <c r="J20" s="13"/>
      <c r="K20" s="13"/>
    </row>
    <row r="21" spans="2:11">
      <c r="B21" s="40" t="s">
        <v>0</v>
      </c>
      <c r="C21" s="40" t="s">
        <v>0</v>
      </c>
      <c r="D21" s="40" t="s">
        <v>0</v>
      </c>
      <c r="E21" s="40" t="s">
        <v>0</v>
      </c>
      <c r="F21" s="40" t="s">
        <v>0</v>
      </c>
      <c r="G21" s="40" t="s">
        <v>0</v>
      </c>
      <c r="H21" s="13"/>
      <c r="I21" s="13"/>
      <c r="J21" s="13"/>
      <c r="K21" s="13"/>
    </row>
    <row r="22" spans="2:11">
      <c r="B22" s="36"/>
      <c r="C22" s="36"/>
      <c r="D22" s="36"/>
      <c r="E22" s="36"/>
      <c r="F22" s="36"/>
      <c r="G22" s="36"/>
      <c r="H22" s="13"/>
      <c r="I22" s="13"/>
      <c r="J22" s="13"/>
      <c r="K22" s="13"/>
    </row>
    <row r="23" spans="2:11" ht="15.75">
      <c r="B23" s="93" t="s">
        <v>40</v>
      </c>
      <c r="C23" s="153">
        <f>'S&amp;D'!I68</f>
        <v>0.62</v>
      </c>
      <c r="D23" s="153">
        <f>+'Indicated Yield Equity Rate '!D53</f>
        <v>9.0999999999999998E-2</v>
      </c>
      <c r="E23" s="109" t="s">
        <v>41</v>
      </c>
      <c r="F23" s="153">
        <f>+D23</f>
        <v>9.0999999999999998E-2</v>
      </c>
      <c r="G23" s="154">
        <f>+F23*C23</f>
        <v>5.6419999999999998E-2</v>
      </c>
      <c r="H23" s="13"/>
      <c r="I23" s="13"/>
      <c r="J23" s="13"/>
      <c r="K23" s="13"/>
    </row>
    <row r="24" spans="2:11" ht="15.75">
      <c r="B24" s="93" t="s">
        <v>0</v>
      </c>
      <c r="C24" s="109" t="s">
        <v>0</v>
      </c>
      <c r="D24" s="109" t="s">
        <v>0</v>
      </c>
      <c r="E24" s="109" t="s">
        <v>0</v>
      </c>
      <c r="F24" s="155" t="s">
        <v>0</v>
      </c>
      <c r="G24" s="136" t="s">
        <v>0</v>
      </c>
      <c r="H24" s="13"/>
      <c r="I24" s="13"/>
      <c r="J24" s="13"/>
      <c r="K24" s="13"/>
    </row>
    <row r="25" spans="2:11" ht="15.75">
      <c r="B25" s="93" t="s">
        <v>42</v>
      </c>
      <c r="C25" s="153">
        <f>'S&amp;D'!J68</f>
        <v>0.38</v>
      </c>
      <c r="D25" s="153">
        <f>+'Yield Debt'!J38</f>
        <v>6.0199999999999997E-2</v>
      </c>
      <c r="E25" s="153">
        <v>0.26</v>
      </c>
      <c r="F25" s="153">
        <f>+D25*(1-E25)</f>
        <v>4.4547999999999997E-2</v>
      </c>
      <c r="G25" s="154">
        <f>+C25*F25</f>
        <v>1.6928240000000001E-2</v>
      </c>
      <c r="H25" s="13"/>
      <c r="I25" s="13"/>
      <c r="J25" s="13"/>
      <c r="K25" s="13"/>
    </row>
    <row r="26" spans="2:11" ht="16.5" thickBot="1">
      <c r="B26" s="102" t="s">
        <v>0</v>
      </c>
      <c r="C26" s="102" t="s">
        <v>0</v>
      </c>
      <c r="D26" s="102" t="s">
        <v>0</v>
      </c>
      <c r="E26" s="102" t="s">
        <v>0</v>
      </c>
      <c r="F26" s="156" t="s">
        <v>0</v>
      </c>
      <c r="G26" s="157" t="s">
        <v>0</v>
      </c>
      <c r="H26" s="13"/>
      <c r="I26" s="13"/>
      <c r="J26" s="13"/>
      <c r="K26" s="13"/>
    </row>
    <row r="27" spans="2:11" ht="15.75">
      <c r="B27" s="93" t="s">
        <v>106</v>
      </c>
      <c r="C27" s="158">
        <f>+C23+C25</f>
        <v>1</v>
      </c>
      <c r="D27" s="93" t="s">
        <v>0</v>
      </c>
      <c r="E27" s="93" t="s">
        <v>0</v>
      </c>
      <c r="F27" s="159" t="s">
        <v>0</v>
      </c>
      <c r="G27" s="154">
        <f>+G23+G25</f>
        <v>7.3348239999999995E-2</v>
      </c>
      <c r="H27" s="13"/>
      <c r="I27" s="13"/>
      <c r="J27" s="13"/>
      <c r="K27" s="13"/>
    </row>
    <row r="28" spans="2:11" ht="16.5" thickBot="1">
      <c r="B28" s="65"/>
      <c r="C28" s="65"/>
      <c r="D28" s="65"/>
      <c r="E28" s="65"/>
      <c r="F28" s="65"/>
      <c r="G28" s="160"/>
      <c r="H28" s="13"/>
      <c r="I28" s="13"/>
      <c r="J28" s="13"/>
      <c r="K28" s="13"/>
    </row>
    <row r="29" spans="2:11" ht="16.5" thickBot="1">
      <c r="B29" s="13"/>
      <c r="C29" s="13"/>
      <c r="D29" s="13"/>
      <c r="E29" s="13"/>
      <c r="F29" s="225" t="s">
        <v>109</v>
      </c>
      <c r="G29" s="209">
        <v>7.3300000000000004E-2</v>
      </c>
      <c r="H29" s="13"/>
      <c r="I29" s="13"/>
      <c r="J29" s="13"/>
      <c r="K29" s="13"/>
    </row>
    <row r="30" spans="2:11">
      <c r="B30" s="13"/>
      <c r="C30" s="13"/>
      <c r="D30" s="13"/>
      <c r="E30" s="13"/>
      <c r="F30" s="13"/>
      <c r="G30" s="13"/>
      <c r="H30" s="13"/>
      <c r="I30" s="13"/>
      <c r="J30" s="13"/>
      <c r="K30" s="13"/>
    </row>
    <row r="31" spans="2:11">
      <c r="B31" s="13"/>
      <c r="C31" s="13"/>
      <c r="D31" s="13"/>
      <c r="E31" s="13"/>
      <c r="F31" s="13"/>
      <c r="G31" s="13"/>
      <c r="H31" s="13"/>
      <c r="I31" s="13"/>
      <c r="J31" s="13"/>
      <c r="K31" s="13"/>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X8" sqref="X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D8" sqref="D8"/>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5" t="s">
        <v>1</v>
      </c>
      <c r="C1" s="13"/>
      <c r="D1" s="13"/>
      <c r="E1" s="13"/>
      <c r="F1" s="13"/>
      <c r="G1" s="13"/>
      <c r="H1" s="13"/>
      <c r="I1" s="13"/>
      <c r="J1" s="13"/>
      <c r="K1" s="13"/>
    </row>
    <row r="2" spans="1:11" ht="15.75">
      <c r="A2" s="26" t="s">
        <v>9</v>
      </c>
      <c r="C2" s="13"/>
      <c r="D2" s="13"/>
      <c r="E2" s="13"/>
      <c r="F2" s="13"/>
      <c r="G2" s="13"/>
      <c r="H2" s="13"/>
      <c r="I2" s="13"/>
      <c r="J2" s="13"/>
      <c r="K2" s="13"/>
    </row>
    <row r="3" spans="1:11">
      <c r="A3" s="27" t="s">
        <v>97</v>
      </c>
      <c r="C3" s="13"/>
      <c r="D3" s="13"/>
      <c r="E3" s="13"/>
      <c r="F3" s="13"/>
      <c r="G3" s="13"/>
      <c r="H3" s="13"/>
      <c r="I3" s="13"/>
      <c r="J3" s="13"/>
      <c r="K3" s="13"/>
    </row>
    <row r="4" spans="1:11">
      <c r="B4" s="27"/>
      <c r="C4" s="13"/>
      <c r="D4" s="13"/>
      <c r="E4" s="13"/>
      <c r="F4" s="13"/>
      <c r="G4" s="13"/>
      <c r="H4" s="13"/>
      <c r="I4" s="13"/>
      <c r="J4" s="13"/>
      <c r="K4" s="13"/>
    </row>
    <row r="5" spans="1:11">
      <c r="B5" s="27"/>
      <c r="C5" s="13"/>
      <c r="D5" s="13"/>
      <c r="E5" s="13"/>
      <c r="F5" s="13"/>
      <c r="G5" s="13"/>
      <c r="H5" s="13"/>
      <c r="I5" s="13"/>
      <c r="J5" s="13"/>
      <c r="K5" s="13"/>
    </row>
    <row r="6" spans="1:11">
      <c r="B6" s="27"/>
      <c r="C6" s="13"/>
      <c r="D6" s="13"/>
      <c r="E6" s="13"/>
      <c r="F6" s="13"/>
      <c r="G6" s="13"/>
      <c r="H6" s="13"/>
      <c r="I6" s="13"/>
      <c r="J6" s="13"/>
      <c r="K6" s="13"/>
    </row>
    <row r="7" spans="1:11">
      <c r="B7" s="27"/>
      <c r="C7" s="13"/>
      <c r="D7" s="13"/>
      <c r="E7" s="13"/>
      <c r="F7" s="13"/>
      <c r="G7" s="13"/>
      <c r="H7" s="13"/>
      <c r="I7" s="13"/>
      <c r="J7" s="13"/>
      <c r="K7" s="13"/>
    </row>
    <row r="8" spans="1:11">
      <c r="B8" s="27"/>
      <c r="C8" s="13"/>
      <c r="D8" s="13"/>
      <c r="E8" s="13"/>
      <c r="F8" s="13"/>
      <c r="G8" s="13"/>
      <c r="H8" s="13"/>
      <c r="I8" s="13"/>
      <c r="J8" s="13"/>
      <c r="K8" s="13"/>
    </row>
    <row r="9" spans="1:11">
      <c r="B9" s="27"/>
      <c r="C9" s="13"/>
      <c r="D9" s="13"/>
      <c r="E9" s="13"/>
      <c r="F9" s="13"/>
      <c r="G9" s="13"/>
      <c r="H9" s="13"/>
      <c r="I9" s="13"/>
      <c r="J9" s="13"/>
      <c r="K9" s="13"/>
    </row>
    <row r="10" spans="1:11" ht="18">
      <c r="B10" s="13"/>
      <c r="C10" s="13"/>
      <c r="D10" s="80" t="s">
        <v>0</v>
      </c>
      <c r="E10" s="13"/>
      <c r="F10" s="13"/>
      <c r="G10" s="13"/>
      <c r="H10" s="13"/>
      <c r="I10" s="13"/>
      <c r="J10" s="13"/>
      <c r="K10" s="13"/>
    </row>
    <row r="11" spans="1:11" ht="18">
      <c r="B11" s="13"/>
      <c r="C11" s="13"/>
      <c r="D11" s="80" t="s">
        <v>98</v>
      </c>
      <c r="E11" s="13"/>
      <c r="F11" s="13"/>
      <c r="G11" s="13"/>
      <c r="H11" s="13"/>
      <c r="I11" s="13"/>
      <c r="J11" s="13"/>
      <c r="K11" s="13"/>
    </row>
    <row r="12" spans="1:11">
      <c r="B12" s="13"/>
      <c r="C12" s="13"/>
      <c r="D12" s="13"/>
      <c r="E12" s="13"/>
      <c r="F12" s="13"/>
      <c r="G12" s="13"/>
      <c r="H12" s="13"/>
      <c r="I12" s="13"/>
      <c r="J12" s="13"/>
      <c r="K12" s="13"/>
    </row>
    <row r="13" spans="1:11">
      <c r="B13" s="13"/>
      <c r="C13" s="13"/>
      <c r="D13" s="13"/>
      <c r="E13" s="13"/>
      <c r="F13" s="13"/>
      <c r="G13" s="13"/>
      <c r="H13" s="13"/>
      <c r="I13" s="13"/>
      <c r="J13" s="13"/>
      <c r="K13" s="13"/>
    </row>
    <row r="14" spans="1:11" ht="15.75" thickBot="1">
      <c r="B14" s="13"/>
      <c r="C14" s="30"/>
      <c r="D14" s="30"/>
      <c r="E14" s="30"/>
      <c r="F14" s="13"/>
      <c r="G14" s="13"/>
      <c r="H14" s="13"/>
      <c r="I14" s="13"/>
      <c r="J14" s="13"/>
      <c r="K14" s="13"/>
    </row>
    <row r="15" spans="1:11" ht="20.25">
      <c r="B15" s="13"/>
      <c r="C15" s="13"/>
      <c r="D15" s="33" t="str">
        <f>+'S&amp;D'!A12</f>
        <v>Electric Utilities</v>
      </c>
      <c r="E15" s="13"/>
      <c r="F15" s="13"/>
      <c r="G15" s="13"/>
      <c r="H15" s="13"/>
      <c r="I15" s="13"/>
      <c r="J15" s="13"/>
      <c r="K15" s="13"/>
    </row>
    <row r="16" spans="1:11" ht="18.75" thickBot="1">
      <c r="B16" s="13"/>
      <c r="C16" s="30"/>
      <c r="D16" s="152" t="s">
        <v>105</v>
      </c>
      <c r="E16" s="30"/>
      <c r="F16" s="13"/>
      <c r="G16" s="13"/>
      <c r="H16" s="13"/>
      <c r="I16" s="13"/>
      <c r="J16" s="13"/>
      <c r="K16" s="13"/>
    </row>
    <row r="17" spans="2:11">
      <c r="H17" s="13"/>
      <c r="I17" s="13"/>
      <c r="J17" s="13"/>
      <c r="K17" s="13"/>
    </row>
    <row r="18" spans="2:11" ht="15.75" thickBot="1">
      <c r="B18" s="30"/>
      <c r="C18" s="30"/>
      <c r="D18" s="38" t="s">
        <v>0</v>
      </c>
      <c r="E18" s="30"/>
      <c r="F18" s="30"/>
      <c r="G18" s="30"/>
      <c r="H18" s="13"/>
      <c r="I18" s="13"/>
      <c r="J18" s="13"/>
      <c r="K18" s="13"/>
    </row>
    <row r="19" spans="2:11">
      <c r="B19" s="36" t="s">
        <v>32</v>
      </c>
      <c r="C19" s="36" t="s">
        <v>33</v>
      </c>
      <c r="D19" s="36" t="s">
        <v>102</v>
      </c>
      <c r="E19" s="36" t="s">
        <v>103</v>
      </c>
      <c r="F19" s="36" t="s">
        <v>101</v>
      </c>
      <c r="G19" s="36" t="s">
        <v>35</v>
      </c>
      <c r="H19" s="13"/>
      <c r="I19" s="13"/>
      <c r="J19" s="13"/>
      <c r="K19" s="13"/>
    </row>
    <row r="20" spans="2:11" ht="15.75" thickBot="1">
      <c r="B20" s="38" t="s">
        <v>33</v>
      </c>
      <c r="C20" s="38" t="s">
        <v>36</v>
      </c>
      <c r="D20" s="38" t="s">
        <v>37</v>
      </c>
      <c r="E20" s="38" t="s">
        <v>23</v>
      </c>
      <c r="F20" s="38" t="s">
        <v>38</v>
      </c>
      <c r="G20" s="38" t="s">
        <v>104</v>
      </c>
      <c r="H20" s="13"/>
      <c r="I20" s="13"/>
      <c r="J20" s="13"/>
      <c r="K20" s="13"/>
    </row>
    <row r="21" spans="2:11">
      <c r="B21" s="40" t="s">
        <v>0</v>
      </c>
      <c r="C21" s="40" t="s">
        <v>0</v>
      </c>
      <c r="D21" s="40" t="s">
        <v>0</v>
      </c>
      <c r="E21" s="40" t="s">
        <v>0</v>
      </c>
      <c r="F21" s="40" t="s">
        <v>0</v>
      </c>
      <c r="G21" s="40" t="s">
        <v>0</v>
      </c>
      <c r="H21" s="13"/>
      <c r="I21" s="13"/>
      <c r="J21" s="13"/>
      <c r="K21" s="13"/>
    </row>
    <row r="22" spans="2:11">
      <c r="B22" s="36"/>
      <c r="C22" s="36"/>
      <c r="D22" s="36"/>
      <c r="E22" s="36"/>
      <c r="F22" s="36"/>
      <c r="G22" s="36"/>
      <c r="H22" s="13"/>
      <c r="I22" s="13"/>
      <c r="J22" s="13"/>
      <c r="K22" s="13"/>
    </row>
    <row r="23" spans="2:11" ht="15.75">
      <c r="B23" s="93" t="s">
        <v>40</v>
      </c>
      <c r="C23" s="153">
        <f>'S&amp;D'!I68</f>
        <v>0.62</v>
      </c>
      <c r="D23" s="153">
        <f>+'Direct NOPAT'!J42</f>
        <v>5.4300000000000001E-2</v>
      </c>
      <c r="E23" s="109" t="s">
        <v>41</v>
      </c>
      <c r="F23" s="153">
        <f>+D23</f>
        <v>5.4300000000000001E-2</v>
      </c>
      <c r="G23" s="154">
        <f>+F23*C23</f>
        <v>3.3666000000000001E-2</v>
      </c>
      <c r="H23" s="13"/>
      <c r="I23" s="13"/>
      <c r="J23" s="13"/>
      <c r="K23" s="13"/>
    </row>
    <row r="24" spans="2:11" ht="15.75">
      <c r="B24" s="93" t="s">
        <v>0</v>
      </c>
      <c r="C24" s="109" t="s">
        <v>0</v>
      </c>
      <c r="D24" s="109" t="s">
        <v>0</v>
      </c>
      <c r="E24" s="109" t="s">
        <v>0</v>
      </c>
      <c r="F24" s="155" t="s">
        <v>0</v>
      </c>
      <c r="G24" s="136" t="s">
        <v>0</v>
      </c>
      <c r="H24" s="13"/>
      <c r="I24" s="13"/>
      <c r="J24" s="13"/>
      <c r="K24" s="13"/>
    </row>
    <row r="25" spans="2:11" ht="15.75">
      <c r="B25" s="93" t="s">
        <v>42</v>
      </c>
      <c r="C25" s="153">
        <f>'S&amp;D'!J68</f>
        <v>0.38</v>
      </c>
      <c r="D25" s="153">
        <f>+'Direct Debt'!I41</f>
        <v>3.8699999999999998E-2</v>
      </c>
      <c r="E25" s="153">
        <v>0.26</v>
      </c>
      <c r="F25" s="153">
        <f>+D25*(1-E25)</f>
        <v>2.8637999999999997E-2</v>
      </c>
      <c r="G25" s="154">
        <f>+C25*F25</f>
        <v>1.0882439999999998E-2</v>
      </c>
      <c r="H25" s="13"/>
      <c r="I25" s="13"/>
      <c r="J25" s="13"/>
      <c r="K25" s="13"/>
    </row>
    <row r="26" spans="2:11" ht="16.5" thickBot="1">
      <c r="B26" s="102" t="s">
        <v>0</v>
      </c>
      <c r="C26" s="102" t="s">
        <v>0</v>
      </c>
      <c r="D26" s="102" t="s">
        <v>0</v>
      </c>
      <c r="E26" s="102" t="s">
        <v>0</v>
      </c>
      <c r="F26" s="156" t="s">
        <v>0</v>
      </c>
      <c r="G26" s="157" t="s">
        <v>0</v>
      </c>
      <c r="H26" s="13"/>
      <c r="I26" s="13"/>
      <c r="J26" s="13"/>
      <c r="K26" s="13"/>
    </row>
    <row r="27" spans="2:11" ht="15.75">
      <c r="B27" s="93" t="s">
        <v>43</v>
      </c>
      <c r="C27" s="158">
        <f>+C23+C25</f>
        <v>1</v>
      </c>
      <c r="D27" s="93" t="s">
        <v>0</v>
      </c>
      <c r="E27" s="93" t="s">
        <v>0</v>
      </c>
      <c r="F27" s="159" t="s">
        <v>0</v>
      </c>
      <c r="G27" s="154">
        <f>+G23+G25</f>
        <v>4.4548440000000002E-2</v>
      </c>
      <c r="H27" s="13"/>
      <c r="I27" s="13"/>
      <c r="J27" s="13"/>
      <c r="K27" s="13"/>
    </row>
    <row r="28" spans="2:11" ht="16.5" thickBot="1">
      <c r="B28" s="65"/>
      <c r="C28" s="65"/>
      <c r="D28" s="65"/>
      <c r="E28" s="65"/>
      <c r="F28" s="65"/>
      <c r="G28" s="160"/>
      <c r="H28" s="13"/>
      <c r="I28" s="13"/>
      <c r="J28" s="13"/>
      <c r="K28" s="13"/>
    </row>
    <row r="29" spans="2:11" ht="16.5" thickBot="1">
      <c r="B29" s="13"/>
      <c r="C29" s="13"/>
      <c r="D29" s="13"/>
      <c r="E29" s="13"/>
      <c r="F29" s="225" t="s">
        <v>109</v>
      </c>
      <c r="G29" s="209">
        <v>4.4499999999999998E-2</v>
      </c>
      <c r="H29" s="13"/>
      <c r="I29" s="13"/>
      <c r="J29" s="13"/>
      <c r="K29" s="13"/>
    </row>
    <row r="30" spans="2:11" ht="16.5" thickBot="1">
      <c r="B30" s="13"/>
      <c r="C30" s="13"/>
      <c r="D30" s="13"/>
      <c r="E30" s="13"/>
      <c r="F30" s="159"/>
      <c r="G30" s="154"/>
      <c r="H30" s="13"/>
      <c r="I30" s="13"/>
      <c r="J30" s="13"/>
      <c r="K30" s="13"/>
    </row>
    <row r="31" spans="2:11" ht="16.5" thickBot="1">
      <c r="B31" s="13"/>
      <c r="C31" s="13"/>
      <c r="D31" s="13"/>
      <c r="E31" s="13"/>
      <c r="F31" s="225" t="s">
        <v>273</v>
      </c>
      <c r="G31" s="260">
        <f>1/G29</f>
        <v>22.471910112359552</v>
      </c>
      <c r="H31" s="13"/>
      <c r="I31" s="13"/>
      <c r="J31" s="13"/>
      <c r="K31" s="13"/>
    </row>
    <row r="32" spans="2:11" ht="15.75">
      <c r="B32" s="13"/>
      <c r="C32" s="13"/>
      <c r="D32" s="13"/>
      <c r="E32" s="13"/>
      <c r="F32" s="159"/>
      <c r="G32" s="154"/>
      <c r="H32" s="13"/>
      <c r="I32" s="13"/>
      <c r="J32" s="13"/>
      <c r="K32" s="13"/>
    </row>
    <row r="33" spans="1:11" ht="15.75">
      <c r="B33" s="13"/>
      <c r="C33" s="13"/>
      <c r="D33" s="13"/>
      <c r="E33" s="13"/>
      <c r="F33" s="159"/>
      <c r="G33" s="154"/>
      <c r="H33" s="13"/>
      <c r="I33" s="13"/>
      <c r="J33" s="13"/>
      <c r="K33" s="13"/>
    </row>
    <row r="34" spans="1:11" ht="20.25">
      <c r="A34" s="25" t="s">
        <v>1</v>
      </c>
      <c r="C34" s="13"/>
      <c r="D34" s="13"/>
      <c r="E34" s="13"/>
      <c r="F34" s="159"/>
      <c r="G34" s="154"/>
      <c r="H34" s="13"/>
      <c r="I34" s="13"/>
      <c r="J34" s="13"/>
      <c r="K34" s="13"/>
    </row>
    <row r="35" spans="1:11" ht="15.75">
      <c r="A35" s="26" t="s">
        <v>9</v>
      </c>
      <c r="C35" s="13"/>
      <c r="D35" s="13"/>
      <c r="E35" s="13"/>
      <c r="F35" s="159"/>
      <c r="G35" s="154"/>
      <c r="H35" s="13"/>
      <c r="I35" s="13"/>
      <c r="J35" s="13"/>
      <c r="K35" s="13"/>
    </row>
    <row r="36" spans="1:11" ht="15.75">
      <c r="A36" s="27" t="s">
        <v>97</v>
      </c>
      <c r="C36" s="13"/>
      <c r="D36" s="13"/>
      <c r="E36" s="13"/>
      <c r="F36" s="159"/>
      <c r="G36" s="154"/>
      <c r="H36" s="13"/>
      <c r="I36" s="13"/>
      <c r="J36" s="13"/>
      <c r="K36" s="13"/>
    </row>
    <row r="37" spans="1:11" ht="15.75">
      <c r="A37" s="27"/>
      <c r="C37" s="13"/>
      <c r="D37" s="13"/>
      <c r="E37" s="13"/>
      <c r="F37" s="159"/>
      <c r="G37" s="154"/>
      <c r="H37" s="13"/>
      <c r="I37" s="13"/>
      <c r="J37" s="13"/>
      <c r="K37" s="13"/>
    </row>
    <row r="38" spans="1:11" ht="15.75">
      <c r="A38" s="27"/>
      <c r="C38" s="13"/>
      <c r="D38" s="13"/>
      <c r="E38" s="13"/>
      <c r="F38" s="159"/>
      <c r="G38" s="154"/>
      <c r="H38" s="13"/>
      <c r="I38" s="13"/>
      <c r="J38" s="13"/>
      <c r="K38" s="13"/>
    </row>
    <row r="39" spans="1:11" ht="15.75">
      <c r="A39" s="27"/>
      <c r="C39" s="13"/>
      <c r="D39" s="13"/>
      <c r="E39" s="13"/>
      <c r="F39" s="159"/>
      <c r="G39" s="154"/>
      <c r="H39" s="13"/>
      <c r="I39" s="13"/>
      <c r="J39" s="13"/>
      <c r="K39" s="13"/>
    </row>
    <row r="40" spans="1:11" ht="15.75">
      <c r="A40" s="27"/>
      <c r="C40" s="13"/>
      <c r="D40" s="13"/>
      <c r="E40" s="13"/>
      <c r="F40" s="159"/>
      <c r="G40" s="154"/>
      <c r="H40" s="13"/>
      <c r="I40" s="13"/>
      <c r="J40" s="13"/>
      <c r="K40" s="13"/>
    </row>
    <row r="41" spans="1:11" ht="15.75">
      <c r="A41" s="27"/>
      <c r="C41" s="13"/>
      <c r="D41" s="13"/>
      <c r="E41" s="13"/>
      <c r="F41" s="159"/>
      <c r="G41" s="154"/>
      <c r="H41" s="13"/>
      <c r="I41" s="13"/>
      <c r="J41" s="13"/>
      <c r="K41" s="13"/>
    </row>
    <row r="42" spans="1:11" ht="15.75">
      <c r="A42" s="27"/>
      <c r="C42" s="13"/>
      <c r="D42" s="13"/>
      <c r="E42" s="13"/>
      <c r="F42" s="159"/>
      <c r="G42" s="154"/>
      <c r="H42" s="13"/>
      <c r="I42" s="13"/>
      <c r="J42" s="13"/>
      <c r="K42" s="13"/>
    </row>
    <row r="43" spans="1:11" ht="15.75">
      <c r="A43" s="27"/>
      <c r="C43" s="13"/>
      <c r="D43" s="13"/>
      <c r="E43" s="13"/>
      <c r="F43" s="159"/>
      <c r="G43" s="154"/>
      <c r="H43" s="13"/>
      <c r="I43" s="13"/>
      <c r="J43" s="13"/>
      <c r="K43" s="13"/>
    </row>
    <row r="44" spans="1:11" ht="18">
      <c r="A44" s="27"/>
      <c r="C44" s="13"/>
      <c r="D44" s="80" t="s">
        <v>98</v>
      </c>
      <c r="E44" s="13"/>
      <c r="F44" s="159"/>
      <c r="G44" s="154"/>
      <c r="H44" s="13"/>
      <c r="I44" s="13"/>
      <c r="J44" s="13"/>
      <c r="K44" s="13"/>
    </row>
    <row r="45" spans="1:11" ht="18">
      <c r="A45" s="27"/>
      <c r="C45" s="13"/>
      <c r="D45" s="80"/>
      <c r="E45" s="13"/>
      <c r="F45" s="159"/>
      <c r="G45" s="154"/>
      <c r="H45" s="13"/>
      <c r="I45" s="13"/>
      <c r="J45" s="13"/>
      <c r="K45" s="13"/>
    </row>
    <row r="46" spans="1:11" ht="18">
      <c r="A46" s="27"/>
      <c r="C46" s="13"/>
      <c r="D46" s="80"/>
      <c r="E46" s="13"/>
      <c r="F46" s="159"/>
      <c r="G46" s="154"/>
      <c r="H46" s="13"/>
      <c r="I46" s="13"/>
      <c r="J46" s="13"/>
      <c r="K46" s="13"/>
    </row>
    <row r="47" spans="1:11" ht="15.75" thickBot="1">
      <c r="B47" s="13"/>
      <c r="C47" s="30"/>
      <c r="D47" s="30"/>
      <c r="E47" s="30"/>
      <c r="F47" s="13"/>
      <c r="G47" s="13"/>
      <c r="H47" s="13"/>
      <c r="I47" s="13"/>
      <c r="J47" s="13"/>
      <c r="K47" s="13"/>
    </row>
    <row r="48" spans="1:11" ht="20.25">
      <c r="B48" s="13"/>
      <c r="C48" s="13"/>
      <c r="D48" s="33" t="str">
        <f>+D15</f>
        <v>Electric Utilities</v>
      </c>
      <c r="E48" s="13"/>
      <c r="F48" s="13"/>
      <c r="G48" s="13"/>
      <c r="H48" s="13"/>
      <c r="I48" s="13"/>
      <c r="J48" s="13"/>
      <c r="K48" s="13"/>
    </row>
    <row r="49" spans="2:11" ht="18.75" thickBot="1">
      <c r="B49" s="13"/>
      <c r="C49" s="30"/>
      <c r="D49" s="152" t="s">
        <v>100</v>
      </c>
      <c r="E49" s="30"/>
      <c r="F49" s="13"/>
      <c r="G49" s="13"/>
      <c r="H49" s="13"/>
      <c r="I49" s="13"/>
      <c r="J49" s="13"/>
      <c r="K49" s="13"/>
    </row>
    <row r="50" spans="2:11">
      <c r="B50" s="13"/>
      <c r="C50" s="13"/>
      <c r="D50" s="13"/>
      <c r="E50" s="13"/>
      <c r="F50" s="13"/>
      <c r="G50" s="13"/>
      <c r="H50" s="13"/>
      <c r="I50" s="13"/>
      <c r="J50" s="13"/>
      <c r="K50" s="13"/>
    </row>
    <row r="51" spans="2:11" ht="15.75" thickBot="1">
      <c r="B51" s="30"/>
      <c r="C51" s="30"/>
      <c r="D51" s="38" t="s">
        <v>0</v>
      </c>
      <c r="E51" s="30"/>
      <c r="F51" s="30"/>
      <c r="G51" s="30"/>
      <c r="H51" s="13"/>
      <c r="I51" s="13"/>
      <c r="J51" s="13"/>
      <c r="K51" s="13"/>
    </row>
    <row r="52" spans="2:11">
      <c r="B52" s="36" t="s">
        <v>32</v>
      </c>
      <c r="C52" s="36" t="s">
        <v>33</v>
      </c>
      <c r="D52" s="36" t="s">
        <v>102</v>
      </c>
      <c r="E52" s="36" t="s">
        <v>103</v>
      </c>
      <c r="F52" s="36" t="s">
        <v>101</v>
      </c>
      <c r="G52" s="36" t="s">
        <v>35</v>
      </c>
      <c r="H52" s="13"/>
      <c r="I52" s="13"/>
      <c r="J52" s="13"/>
      <c r="K52" s="13"/>
    </row>
    <row r="53" spans="2:11" ht="15.75" thickBot="1">
      <c r="B53" s="38" t="s">
        <v>33</v>
      </c>
      <c r="C53" s="38" t="s">
        <v>36</v>
      </c>
      <c r="D53" s="38" t="s">
        <v>37</v>
      </c>
      <c r="E53" s="38" t="s">
        <v>23</v>
      </c>
      <c r="F53" s="38" t="s">
        <v>38</v>
      </c>
      <c r="G53" s="38" t="s">
        <v>104</v>
      </c>
      <c r="H53" s="13"/>
      <c r="I53" s="13"/>
      <c r="J53" s="13"/>
      <c r="K53" s="13"/>
    </row>
    <row r="54" spans="2:11">
      <c r="B54" s="40" t="s">
        <v>0</v>
      </c>
      <c r="C54" s="40" t="s">
        <v>0</v>
      </c>
      <c r="D54" s="40" t="s">
        <v>0</v>
      </c>
      <c r="E54" s="40" t="s">
        <v>0</v>
      </c>
      <c r="F54" s="40" t="s">
        <v>0</v>
      </c>
      <c r="G54" s="40" t="s">
        <v>0</v>
      </c>
      <c r="H54" s="13"/>
      <c r="I54" s="13"/>
      <c r="J54" s="13"/>
      <c r="K54" s="13"/>
    </row>
    <row r="55" spans="2:11">
      <c r="B55" s="36"/>
      <c r="C55" s="36"/>
      <c r="D55" s="36"/>
      <c r="E55" s="36"/>
      <c r="F55" s="36"/>
      <c r="G55" s="36"/>
      <c r="H55" s="13"/>
      <c r="I55" s="13"/>
      <c r="J55" s="13"/>
      <c r="K55" s="13"/>
    </row>
    <row r="56" spans="2:11" ht="15.75">
      <c r="B56" s="93" t="s">
        <v>40</v>
      </c>
      <c r="C56" s="153">
        <f>'S&amp;D'!I68</f>
        <v>0.62</v>
      </c>
      <c r="D56" s="153">
        <f>'Direct GCF'!H41</f>
        <v>0.11560000000000001</v>
      </c>
      <c r="E56" s="109" t="s">
        <v>41</v>
      </c>
      <c r="F56" s="153">
        <f>+D56</f>
        <v>0.11560000000000001</v>
      </c>
      <c r="G56" s="154">
        <f>+F56*C56</f>
        <v>7.1672E-2</v>
      </c>
      <c r="H56" s="13"/>
      <c r="I56" s="13"/>
      <c r="J56" s="13"/>
      <c r="K56" s="13"/>
    </row>
    <row r="57" spans="2:11" ht="15.75">
      <c r="B57" s="93" t="s">
        <v>0</v>
      </c>
      <c r="C57" s="109" t="s">
        <v>0</v>
      </c>
      <c r="D57" s="109" t="s">
        <v>0</v>
      </c>
      <c r="E57" s="109" t="s">
        <v>0</v>
      </c>
      <c r="F57" s="155" t="s">
        <v>0</v>
      </c>
      <c r="G57" s="136" t="s">
        <v>0</v>
      </c>
      <c r="H57" s="13"/>
      <c r="I57" s="13"/>
      <c r="J57" s="13"/>
      <c r="K57" s="13"/>
    </row>
    <row r="58" spans="2:11" ht="15.75">
      <c r="B58" s="93" t="s">
        <v>42</v>
      </c>
      <c r="C58" s="153">
        <f>'S&amp;D'!J68</f>
        <v>0.38</v>
      </c>
      <c r="D58" s="153">
        <f>+'Direct Debt'!I41</f>
        <v>3.8699999999999998E-2</v>
      </c>
      <c r="E58" s="153">
        <v>0.26</v>
      </c>
      <c r="F58" s="153">
        <f>+D58*(1-E58)</f>
        <v>2.8637999999999997E-2</v>
      </c>
      <c r="G58" s="154">
        <f>+C58*F58</f>
        <v>1.0882439999999998E-2</v>
      </c>
      <c r="H58" s="13"/>
      <c r="I58" s="13"/>
      <c r="J58" s="13"/>
      <c r="K58" s="13"/>
    </row>
    <row r="59" spans="2:11" ht="16.5" thickBot="1">
      <c r="B59" s="102" t="s">
        <v>0</v>
      </c>
      <c r="C59" s="102" t="s">
        <v>0</v>
      </c>
      <c r="D59" s="102" t="s">
        <v>0</v>
      </c>
      <c r="E59" s="102" t="s">
        <v>0</v>
      </c>
      <c r="F59" s="156" t="s">
        <v>0</v>
      </c>
      <c r="G59" s="157" t="s">
        <v>0</v>
      </c>
      <c r="H59" s="13"/>
      <c r="I59" s="13"/>
      <c r="J59" s="13"/>
      <c r="K59" s="13"/>
    </row>
    <row r="60" spans="2:11" ht="15.75">
      <c r="B60" s="93" t="s">
        <v>43</v>
      </c>
      <c r="C60" s="158">
        <f>+C56+C58</f>
        <v>1</v>
      </c>
      <c r="D60" s="93" t="s">
        <v>0</v>
      </c>
      <c r="E60" s="93" t="s">
        <v>0</v>
      </c>
      <c r="F60" s="159" t="s">
        <v>0</v>
      </c>
      <c r="G60" s="154">
        <f>+G56+G58</f>
        <v>8.2554439999999993E-2</v>
      </c>
      <c r="H60" s="13"/>
      <c r="I60" s="13"/>
      <c r="J60" s="13"/>
      <c r="K60" s="13"/>
    </row>
    <row r="61" spans="2:11" ht="16.5" thickBot="1">
      <c r="B61" s="65"/>
      <c r="C61" s="65"/>
      <c r="D61" s="65"/>
      <c r="E61" s="65"/>
      <c r="F61" s="65"/>
      <c r="G61" s="160"/>
      <c r="H61" s="13"/>
      <c r="I61" s="13"/>
      <c r="J61" s="13"/>
      <c r="K61" s="13"/>
    </row>
    <row r="62" spans="2:11" ht="16.5" thickBot="1">
      <c r="B62" s="13"/>
      <c r="C62" s="13"/>
      <c r="D62" s="13"/>
      <c r="E62" s="13"/>
      <c r="F62" s="225" t="s">
        <v>109</v>
      </c>
      <c r="G62" s="209">
        <v>8.2600000000000007E-2</v>
      </c>
      <c r="H62" s="13"/>
      <c r="I62" s="13"/>
      <c r="J62" s="13"/>
      <c r="K62" s="13"/>
    </row>
    <row r="63" spans="2:11" ht="15.75" thickBot="1"/>
    <row r="64" spans="2:11" ht="16.5" thickBot="1">
      <c r="F64" s="225" t="s">
        <v>273</v>
      </c>
      <c r="G64" s="260">
        <f>1/G62</f>
        <v>12.106537530266342</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88"/>
  <sheetViews>
    <sheetView view="pageBreakPreview" zoomScale="60" zoomScaleNormal="80" zoomScalePageLayoutView="70" workbookViewId="0">
      <pane xSplit="1" topLeftCell="B1" activePane="topRight" state="frozen"/>
      <selection activeCell="F4" sqref="F4"/>
      <selection pane="topRight" activeCell="I68" sqref="I68:J68"/>
    </sheetView>
  </sheetViews>
  <sheetFormatPr defaultRowHeight="15"/>
  <cols>
    <col min="1" max="1" width="63" customWidth="1"/>
    <col min="2" max="2" width="11.5703125" bestFit="1" customWidth="1"/>
    <col min="3" max="3" width="26.28515625"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5" t="s">
        <v>1</v>
      </c>
      <c r="B1" s="13"/>
      <c r="C1" s="13"/>
      <c r="D1" s="13"/>
      <c r="E1" s="13"/>
      <c r="F1" s="13"/>
      <c r="G1" s="13"/>
      <c r="H1" s="13"/>
      <c r="I1" s="13"/>
      <c r="J1" s="13"/>
      <c r="K1" s="13"/>
    </row>
    <row r="2" spans="1:12" ht="15.75">
      <c r="A2" s="26" t="s">
        <v>9</v>
      </c>
      <c r="B2" s="13"/>
      <c r="C2" s="13"/>
      <c r="D2" s="13"/>
      <c r="E2" s="13"/>
      <c r="F2" s="13"/>
      <c r="G2" s="13"/>
      <c r="H2" s="13"/>
      <c r="I2" s="13"/>
      <c r="J2" s="13"/>
      <c r="K2" s="13"/>
    </row>
    <row r="3" spans="1:12">
      <c r="A3" s="27" t="s">
        <v>97</v>
      </c>
      <c r="B3" s="13"/>
      <c r="C3" s="13"/>
      <c r="D3" s="13"/>
      <c r="E3" s="13"/>
      <c r="F3" s="13"/>
      <c r="G3" s="13"/>
      <c r="H3" s="13"/>
      <c r="I3" s="13"/>
      <c r="J3" s="13"/>
      <c r="K3" s="13"/>
    </row>
    <row r="4" spans="1:12">
      <c r="A4" s="27"/>
      <c r="B4" s="13"/>
      <c r="C4" s="13"/>
      <c r="D4" s="13"/>
      <c r="E4" s="13"/>
      <c r="F4" s="222" t="s">
        <v>0</v>
      </c>
      <c r="G4" s="13"/>
      <c r="H4" s="13"/>
      <c r="I4" s="13"/>
      <c r="J4" s="13"/>
      <c r="K4" s="13"/>
    </row>
    <row r="5" spans="1:12">
      <c r="B5" s="13"/>
      <c r="C5" s="13"/>
      <c r="D5" s="13"/>
      <c r="E5" s="28"/>
      <c r="F5" s="222" t="s">
        <v>0</v>
      </c>
      <c r="G5" s="13"/>
      <c r="H5" s="13"/>
      <c r="I5" s="13"/>
      <c r="J5" s="13"/>
      <c r="K5" s="13" t="s">
        <v>0</v>
      </c>
    </row>
    <row r="6" spans="1:12">
      <c r="A6" s="13"/>
      <c r="B6" s="13"/>
      <c r="C6" s="13"/>
      <c r="D6" s="13"/>
      <c r="E6" s="13"/>
      <c r="F6" s="13"/>
      <c r="G6" s="13"/>
      <c r="H6" s="13"/>
      <c r="I6" s="13"/>
      <c r="J6" s="13"/>
      <c r="K6" s="13"/>
    </row>
    <row r="7" spans="1:12">
      <c r="A7" s="13"/>
      <c r="B7" s="36"/>
      <c r="C7" s="36"/>
      <c r="D7" s="36"/>
      <c r="E7" s="36"/>
      <c r="F7" s="36"/>
      <c r="G7" s="15"/>
      <c r="H7" s="45"/>
      <c r="I7" s="45"/>
      <c r="J7" s="88"/>
      <c r="K7" s="88"/>
      <c r="L7" s="3"/>
    </row>
    <row r="8" spans="1:12">
      <c r="A8" s="89"/>
      <c r="B8" s="36"/>
      <c r="C8" s="36"/>
      <c r="D8" s="36"/>
      <c r="E8" s="36"/>
      <c r="F8" s="36"/>
      <c r="G8" s="15"/>
      <c r="H8" s="45"/>
      <c r="I8" s="45"/>
      <c r="J8" s="88"/>
      <c r="K8" s="88"/>
      <c r="L8" s="3"/>
    </row>
    <row r="9" spans="1:12">
      <c r="A9" s="89"/>
      <c r="B9" s="36"/>
      <c r="C9" s="36"/>
      <c r="D9" s="36"/>
      <c r="E9" s="36"/>
      <c r="F9" s="36"/>
      <c r="G9" s="15"/>
      <c r="H9" s="45"/>
      <c r="I9" s="45"/>
      <c r="J9" s="88"/>
      <c r="K9" s="88"/>
      <c r="L9" s="3"/>
    </row>
    <row r="10" spans="1:12">
      <c r="A10" s="45"/>
      <c r="D10" s="45"/>
      <c r="E10" s="45"/>
      <c r="F10" s="45"/>
      <c r="G10" s="45"/>
      <c r="H10" s="45"/>
      <c r="I10" s="45"/>
      <c r="J10" s="45"/>
      <c r="K10" s="45"/>
      <c r="L10" s="2"/>
    </row>
    <row r="11" spans="1:12" ht="15.75" thickBot="1">
      <c r="A11" s="45"/>
      <c r="D11" s="45"/>
      <c r="E11" s="90"/>
      <c r="F11" s="30"/>
      <c r="G11" s="90"/>
      <c r="H11" s="45"/>
      <c r="I11" s="45"/>
      <c r="J11" s="45"/>
      <c r="K11" s="45"/>
      <c r="L11" s="2"/>
    </row>
    <row r="12" spans="1:12" ht="21" thickBot="1">
      <c r="A12" s="29" t="s">
        <v>471</v>
      </c>
      <c r="D12" s="45"/>
      <c r="E12" s="45"/>
      <c r="F12" s="33" t="s">
        <v>112</v>
      </c>
      <c r="G12" s="45"/>
      <c r="H12" s="45"/>
      <c r="I12" s="45"/>
      <c r="J12" s="45"/>
      <c r="K12" s="13"/>
    </row>
    <row r="13" spans="1:12" ht="18.75" thickBot="1">
      <c r="A13" s="32"/>
      <c r="D13" s="45"/>
      <c r="E13" s="90"/>
      <c r="F13" s="38" t="s">
        <v>111</v>
      </c>
      <c r="G13" s="90"/>
      <c r="H13" s="45"/>
      <c r="I13" s="45"/>
      <c r="J13" s="45" t="s">
        <v>0</v>
      </c>
      <c r="K13" s="13"/>
    </row>
    <row r="14" spans="1:12" ht="18">
      <c r="A14" s="32"/>
      <c r="B14" s="45"/>
      <c r="C14" s="45"/>
      <c r="D14" s="45"/>
      <c r="E14" s="45"/>
      <c r="F14" s="14" t="s">
        <v>0</v>
      </c>
      <c r="G14" s="45"/>
      <c r="H14" s="45"/>
      <c r="I14" s="45"/>
      <c r="J14" s="45"/>
      <c r="K14" s="13"/>
    </row>
    <row r="15" spans="1:12" ht="15.75" thickBot="1">
      <c r="A15" s="43" t="s">
        <v>0</v>
      </c>
      <c r="B15" s="43" t="s">
        <v>0</v>
      </c>
      <c r="C15" s="43" t="s">
        <v>0</v>
      </c>
      <c r="D15" s="43"/>
      <c r="E15" s="43"/>
      <c r="F15" s="43"/>
      <c r="G15" s="43" t="s">
        <v>0</v>
      </c>
      <c r="H15" s="90"/>
      <c r="I15" s="90"/>
      <c r="J15" s="90"/>
      <c r="K15" s="13"/>
    </row>
    <row r="16" spans="1:12" ht="15.75">
      <c r="A16" s="91"/>
      <c r="B16" s="92"/>
      <c r="C16" s="276"/>
      <c r="D16" s="94" t="s">
        <v>13</v>
      </c>
      <c r="E16" s="95" t="s">
        <v>13</v>
      </c>
      <c r="F16" s="94" t="s">
        <v>13</v>
      </c>
      <c r="G16" s="93" t="s">
        <v>283</v>
      </c>
      <c r="H16" s="96" t="s">
        <v>413</v>
      </c>
      <c r="I16" s="93" t="s">
        <v>413</v>
      </c>
      <c r="J16" s="96" t="s">
        <v>413</v>
      </c>
      <c r="K16" s="13"/>
    </row>
    <row r="17" spans="1:13" ht="15.75">
      <c r="A17" s="91" t="s">
        <v>0</v>
      </c>
      <c r="B17" s="92" t="s">
        <v>3</v>
      </c>
      <c r="C17" s="92" t="s">
        <v>5</v>
      </c>
      <c r="D17" s="94" t="s">
        <v>10</v>
      </c>
      <c r="E17" s="95" t="s">
        <v>10</v>
      </c>
      <c r="F17" s="94" t="s">
        <v>19</v>
      </c>
      <c r="G17" s="97" t="s">
        <v>413</v>
      </c>
      <c r="H17" s="92" t="s">
        <v>12</v>
      </c>
      <c r="I17" s="98" t="s">
        <v>11</v>
      </c>
      <c r="J17" s="99" t="s">
        <v>190</v>
      </c>
      <c r="K17" s="13"/>
    </row>
    <row r="18" spans="1:13" ht="15.75">
      <c r="A18" s="91" t="s">
        <v>2</v>
      </c>
      <c r="B18" s="92" t="s">
        <v>4</v>
      </c>
      <c r="C18" s="92" t="s">
        <v>6</v>
      </c>
      <c r="D18" s="94" t="s">
        <v>65</v>
      </c>
      <c r="E18" s="95" t="s">
        <v>66</v>
      </c>
      <c r="F18" s="94" t="s">
        <v>10</v>
      </c>
      <c r="G18" s="97" t="s">
        <v>10</v>
      </c>
      <c r="H18" s="92" t="s">
        <v>108</v>
      </c>
      <c r="I18" s="223"/>
      <c r="J18" s="99" t="s">
        <v>284</v>
      </c>
      <c r="K18" s="13" t="s">
        <v>0</v>
      </c>
    </row>
    <row r="19" spans="1:13" ht="16.5" thickBot="1">
      <c r="A19" s="100" t="s">
        <v>0</v>
      </c>
      <c r="B19" s="101" t="s">
        <v>0</v>
      </c>
      <c r="C19" s="101" t="s">
        <v>0</v>
      </c>
      <c r="D19" s="101" t="s">
        <v>0</v>
      </c>
      <c r="E19" s="102" t="s">
        <v>0</v>
      </c>
      <c r="F19" s="101" t="s">
        <v>0</v>
      </c>
      <c r="G19" s="102" t="s">
        <v>0</v>
      </c>
      <c r="H19" s="103" t="s">
        <v>96</v>
      </c>
      <c r="I19" s="104" t="s">
        <v>95</v>
      </c>
      <c r="J19" s="103" t="s">
        <v>95</v>
      </c>
      <c r="K19" s="13"/>
    </row>
    <row r="20" spans="1:13">
      <c r="A20" s="105" t="s">
        <v>7</v>
      </c>
      <c r="B20" s="106" t="s">
        <v>7</v>
      </c>
      <c r="C20" s="106" t="s">
        <v>7</v>
      </c>
      <c r="D20" s="106" t="s">
        <v>7</v>
      </c>
      <c r="E20" s="44" t="s">
        <v>7</v>
      </c>
      <c r="F20" s="106" t="s">
        <v>15</v>
      </c>
      <c r="G20" s="44" t="s">
        <v>7</v>
      </c>
      <c r="H20" s="106" t="s">
        <v>8</v>
      </c>
      <c r="I20" s="44" t="s">
        <v>8</v>
      </c>
      <c r="J20" s="106" t="s">
        <v>8</v>
      </c>
      <c r="K20" s="13"/>
    </row>
    <row r="21" spans="1:13" ht="15.75">
      <c r="A21" s="91"/>
      <c r="B21" s="92"/>
      <c r="C21" s="92"/>
      <c r="D21" s="92"/>
      <c r="E21" s="93"/>
      <c r="F21" s="92"/>
      <c r="G21" s="93"/>
      <c r="H21" s="92"/>
      <c r="I21" s="65"/>
      <c r="J21" s="107"/>
      <c r="K21" s="13"/>
    </row>
    <row r="22" spans="1:13" ht="15.75">
      <c r="A22" s="108" t="s">
        <v>317</v>
      </c>
      <c r="B22" s="82" t="s">
        <v>53</v>
      </c>
      <c r="C22" s="82" t="s">
        <v>456</v>
      </c>
      <c r="D22" s="110">
        <v>67.45</v>
      </c>
      <c r="E22" s="62">
        <v>47.77</v>
      </c>
      <c r="F22" s="110">
        <f>AVERAGE(D22,E22)</f>
        <v>57.61</v>
      </c>
      <c r="G22" s="62">
        <v>64.510000000000005</v>
      </c>
      <c r="H22" s="331">
        <v>57200000</v>
      </c>
      <c r="I22" s="331">
        <v>0</v>
      </c>
      <c r="J22" s="331">
        <f>1648200000+272600000</f>
        <v>1920800000</v>
      </c>
      <c r="K22" s="13"/>
    </row>
    <row r="23" spans="1:13" ht="15.75">
      <c r="A23" s="108" t="s">
        <v>44</v>
      </c>
      <c r="B23" s="82" t="s">
        <v>54</v>
      </c>
      <c r="C23" s="82" t="s">
        <v>456</v>
      </c>
      <c r="D23" s="110">
        <v>57.52</v>
      </c>
      <c r="E23" s="62">
        <v>47.19</v>
      </c>
      <c r="F23" s="110">
        <f t="shared" ref="F23:F37" si="0">AVERAGE(D23,E23)</f>
        <v>52.355000000000004</v>
      </c>
      <c r="G23" s="62">
        <v>55.21</v>
      </c>
      <c r="H23" s="331">
        <v>251134966</v>
      </c>
      <c r="I23" s="331">
        <v>0</v>
      </c>
      <c r="J23" s="331">
        <f>7668000000+408000000</f>
        <v>8076000000</v>
      </c>
      <c r="K23" s="13"/>
    </row>
    <row r="24" spans="1:13" ht="15.75">
      <c r="A24" s="108" t="s">
        <v>428</v>
      </c>
      <c r="B24" s="82" t="s">
        <v>58</v>
      </c>
      <c r="C24" s="82" t="s">
        <v>456</v>
      </c>
      <c r="D24" s="110">
        <v>92.44</v>
      </c>
      <c r="E24" s="62">
        <v>73.28</v>
      </c>
      <c r="F24" s="110">
        <f t="shared" si="0"/>
        <v>82.86</v>
      </c>
      <c r="G24" s="62">
        <v>88.92</v>
      </c>
      <c r="H24" s="331">
        <v>262000000</v>
      </c>
      <c r="I24" s="331">
        <v>0</v>
      </c>
      <c r="J24" s="331">
        <f>13685000000+340000000</f>
        <v>14025000000</v>
      </c>
      <c r="K24" s="13"/>
    </row>
    <row r="25" spans="1:13" ht="15.75">
      <c r="A25" s="108" t="s">
        <v>46</v>
      </c>
      <c r="B25" s="82" t="s">
        <v>59</v>
      </c>
      <c r="C25" s="82" t="s">
        <v>456</v>
      </c>
      <c r="D25" s="110">
        <v>100.32</v>
      </c>
      <c r="E25" s="62">
        <v>80.3</v>
      </c>
      <c r="F25" s="110">
        <f t="shared" si="0"/>
        <v>90.31</v>
      </c>
      <c r="G25" s="62">
        <v>94.95</v>
      </c>
      <c r="H25" s="331">
        <f>525099321-11233240</f>
        <v>513866081</v>
      </c>
      <c r="I25" s="331">
        <v>45900000</v>
      </c>
      <c r="J25" s="331">
        <f>33626200000+1996400000</f>
        <v>35622600000</v>
      </c>
      <c r="K25" s="13"/>
    </row>
    <row r="26" spans="1:13" ht="15.75">
      <c r="A26" s="111" t="s">
        <v>47</v>
      </c>
      <c r="B26" s="82" t="s">
        <v>60</v>
      </c>
      <c r="C26" s="82" t="s">
        <v>456</v>
      </c>
      <c r="D26" s="110">
        <v>31.52</v>
      </c>
      <c r="E26" s="62">
        <v>25.03</v>
      </c>
      <c r="F26" s="110">
        <f t="shared" si="0"/>
        <v>28.274999999999999</v>
      </c>
      <c r="G26" s="62">
        <v>29.99</v>
      </c>
      <c r="H26" s="331">
        <v>629535631</v>
      </c>
      <c r="I26" s="337">
        <f>790000000+3000000</f>
        <v>793000000</v>
      </c>
      <c r="J26" s="331">
        <f>14836000000+156000000+1346000000</f>
        <v>16338000000</v>
      </c>
      <c r="K26" s="13"/>
    </row>
    <row r="27" spans="1:13" ht="15.75">
      <c r="A27" s="108" t="s">
        <v>48</v>
      </c>
      <c r="B27" s="82" t="s">
        <v>55</v>
      </c>
      <c r="C27" s="82" t="s">
        <v>456</v>
      </c>
      <c r="D27" s="110">
        <v>65.38</v>
      </c>
      <c r="E27" s="62">
        <v>52.41</v>
      </c>
      <c r="F27" s="110">
        <f t="shared" si="0"/>
        <v>58.894999999999996</v>
      </c>
      <c r="G27" s="62">
        <v>63.33</v>
      </c>
      <c r="H27" s="331">
        <v>291300000</v>
      </c>
      <c r="I27" s="337">
        <v>224000000</v>
      </c>
      <c r="J27" s="331">
        <f>(13122+1099+68)*1000000</f>
        <v>14289000000</v>
      </c>
      <c r="K27" s="13"/>
      <c r="M27" s="10" t="s">
        <v>0</v>
      </c>
    </row>
    <row r="28" spans="1:13" ht="15.75">
      <c r="A28" s="108" t="s">
        <v>49</v>
      </c>
      <c r="B28" s="82" t="s">
        <v>56</v>
      </c>
      <c r="C28" s="82" t="s">
        <v>456</v>
      </c>
      <c r="D28" s="110">
        <v>122.41</v>
      </c>
      <c r="E28" s="62">
        <v>100.64</v>
      </c>
      <c r="F28" s="110">
        <f t="shared" si="0"/>
        <v>111.52500000000001</v>
      </c>
      <c r="G28" s="62">
        <v>117.53</v>
      </c>
      <c r="H28" s="331">
        <v>205632393</v>
      </c>
      <c r="I28" s="337">
        <v>0</v>
      </c>
      <c r="J28" s="331">
        <f>16873000000+1124000000</f>
        <v>17997000000</v>
      </c>
      <c r="K28" s="13"/>
    </row>
    <row r="29" spans="1:13" ht="15.75">
      <c r="A29" s="108" t="s">
        <v>74</v>
      </c>
      <c r="B29" s="82" t="s">
        <v>67</v>
      </c>
      <c r="C29" s="82" t="s">
        <v>455</v>
      </c>
      <c r="D29" s="110">
        <v>105.52</v>
      </c>
      <c r="E29" s="62">
        <v>83.76</v>
      </c>
      <c r="F29" s="110">
        <f t="shared" si="0"/>
        <v>94.64</v>
      </c>
      <c r="G29" s="62">
        <v>102.99</v>
      </c>
      <c r="H29" s="331">
        <v>770000000</v>
      </c>
      <c r="I29" s="337">
        <f>989000000+973000000</f>
        <v>1962000000</v>
      </c>
      <c r="J29" s="331">
        <f>67061000000+4154000000</f>
        <v>71215000000</v>
      </c>
      <c r="K29" s="13"/>
    </row>
    <row r="30" spans="1:13" ht="15.75">
      <c r="A30" s="108" t="s">
        <v>68</v>
      </c>
      <c r="B30" s="82" t="s">
        <v>69</v>
      </c>
      <c r="C30" s="82" t="s">
        <v>456</v>
      </c>
      <c r="D30" s="110">
        <v>120.78</v>
      </c>
      <c r="E30" s="62">
        <v>94.94</v>
      </c>
      <c r="F30" s="110">
        <f t="shared" si="0"/>
        <v>107.86</v>
      </c>
      <c r="G30" s="62">
        <v>112.5</v>
      </c>
      <c r="H30" s="331">
        <f>279653929-68477429</f>
        <v>211176500</v>
      </c>
      <c r="I30" s="337">
        <v>0</v>
      </c>
      <c r="J30" s="331">
        <f>23623512000+2309037000</f>
        <v>25932549000</v>
      </c>
      <c r="K30" s="13"/>
    </row>
    <row r="31" spans="1:13" ht="15.75">
      <c r="A31" s="108" t="s">
        <v>318</v>
      </c>
      <c r="B31" s="82" t="s">
        <v>319</v>
      </c>
      <c r="C31" s="82" t="s">
        <v>456</v>
      </c>
      <c r="D31" s="110">
        <v>64.3</v>
      </c>
      <c r="E31" s="62">
        <v>54.12</v>
      </c>
      <c r="F31" s="110">
        <f t="shared" si="0"/>
        <v>59.209999999999994</v>
      </c>
      <c r="G31" s="62">
        <v>62.93</v>
      </c>
      <c r="H31" s="331">
        <v>229546105</v>
      </c>
      <c r="I31" s="337">
        <v>0</v>
      </c>
      <c r="J31" s="331">
        <f>9905700000+439100000</f>
        <v>10344800000</v>
      </c>
      <c r="K31" s="13"/>
    </row>
    <row r="32" spans="1:13" ht="15.75">
      <c r="A32" s="108" t="s">
        <v>78</v>
      </c>
      <c r="B32" s="82" t="s">
        <v>79</v>
      </c>
      <c r="C32" s="82" t="s">
        <v>455</v>
      </c>
      <c r="D32" s="110">
        <v>42.96</v>
      </c>
      <c r="E32" s="62">
        <v>35.6</v>
      </c>
      <c r="F32" s="110">
        <f t="shared" si="0"/>
        <v>39.28</v>
      </c>
      <c r="G32" s="62">
        <v>41.94</v>
      </c>
      <c r="H32" s="331">
        <v>572130932</v>
      </c>
      <c r="I32" s="337">
        <v>0</v>
      </c>
      <c r="J32" s="331">
        <f>21203000000+351000000</f>
        <v>21554000000</v>
      </c>
      <c r="K32" s="13"/>
    </row>
    <row r="33" spans="1:12" ht="15.75">
      <c r="A33" s="108" t="s">
        <v>50</v>
      </c>
      <c r="B33" s="82" t="s">
        <v>57</v>
      </c>
      <c r="C33" s="82" t="s">
        <v>456</v>
      </c>
      <c r="D33" s="110">
        <v>41</v>
      </c>
      <c r="E33" s="62">
        <v>33.28</v>
      </c>
      <c r="F33" s="110">
        <f t="shared" si="0"/>
        <v>37.14</v>
      </c>
      <c r="G33" s="62">
        <v>39.549999999999997</v>
      </c>
      <c r="H33" s="331">
        <v>200200000</v>
      </c>
      <c r="I33" s="337">
        <v>0</v>
      </c>
      <c r="J33" s="331">
        <f>3548700000+999900000</f>
        <v>4548600000</v>
      </c>
      <c r="K33" s="13"/>
    </row>
    <row r="34" spans="1:12" ht="15.75">
      <c r="A34" s="108" t="s">
        <v>51</v>
      </c>
      <c r="B34" s="82" t="s">
        <v>61</v>
      </c>
      <c r="C34" s="82" t="s">
        <v>456</v>
      </c>
      <c r="D34" s="110">
        <v>69.17</v>
      </c>
      <c r="E34" s="62">
        <v>52.6</v>
      </c>
      <c r="F34" s="110">
        <f t="shared" si="0"/>
        <v>60.885000000000005</v>
      </c>
      <c r="G34" s="62">
        <v>58.71</v>
      </c>
      <c r="H34" s="331">
        <v>41631113</v>
      </c>
      <c r="I34" s="337">
        <v>0</v>
      </c>
      <c r="J34" s="331">
        <f>823821000+0</f>
        <v>823821000</v>
      </c>
      <c r="K34" s="13"/>
    </row>
    <row r="35" spans="1:12" ht="15.75">
      <c r="A35" s="108" t="s">
        <v>75</v>
      </c>
      <c r="B35" s="82" t="s">
        <v>71</v>
      </c>
      <c r="C35" s="82" t="s">
        <v>455</v>
      </c>
      <c r="D35" s="110">
        <v>29.95</v>
      </c>
      <c r="E35" s="62">
        <v>23.47</v>
      </c>
      <c r="F35" s="110">
        <f t="shared" si="0"/>
        <v>26.71</v>
      </c>
      <c r="G35" s="62">
        <v>29.22</v>
      </c>
      <c r="H35" s="331">
        <v>736487000</v>
      </c>
      <c r="I35" s="337">
        <v>0</v>
      </c>
      <c r="J35" s="331">
        <f>12889000000+354000000</f>
        <v>13243000000</v>
      </c>
      <c r="K35" s="13"/>
    </row>
    <row r="36" spans="1:12" ht="15.75">
      <c r="A36" s="108" t="s">
        <v>511</v>
      </c>
      <c r="B36" s="82" t="s">
        <v>73</v>
      </c>
      <c r="C36" s="82" t="s">
        <v>455</v>
      </c>
      <c r="D36" s="110">
        <v>72.83</v>
      </c>
      <c r="E36" s="62">
        <v>60.71</v>
      </c>
      <c r="F36" s="110">
        <f t="shared" si="0"/>
        <v>66.77</v>
      </c>
      <c r="G36" s="62">
        <v>71.41</v>
      </c>
      <c r="H36" s="331">
        <f>1100000000-1000000</f>
        <v>1099000000</v>
      </c>
      <c r="I36" s="337">
        <v>0</v>
      </c>
      <c r="J36" s="331">
        <f>4285000000+50656000000</f>
        <v>54941000000</v>
      </c>
      <c r="K36" s="13"/>
    </row>
    <row r="37" spans="1:12" ht="16.5" thickBot="1">
      <c r="A37" s="112" t="s">
        <v>52</v>
      </c>
      <c r="B37" s="83" t="s">
        <v>62</v>
      </c>
      <c r="C37" s="82" t="s">
        <v>456</v>
      </c>
      <c r="D37" s="113">
        <v>101.11</v>
      </c>
      <c r="E37" s="330">
        <v>80.819999999999993</v>
      </c>
      <c r="F37" s="113">
        <f t="shared" si="0"/>
        <v>90.965000000000003</v>
      </c>
      <c r="G37" s="330">
        <v>93.76</v>
      </c>
      <c r="H37" s="335">
        <v>315434531</v>
      </c>
      <c r="I37" s="114">
        <v>30400000</v>
      </c>
      <c r="J37" s="335">
        <f>15464200000+183200000</f>
        <v>15647400000</v>
      </c>
      <c r="K37" s="13"/>
    </row>
    <row r="38" spans="1:12" ht="15.75">
      <c r="A38" s="115"/>
      <c r="B38" s="115"/>
      <c r="C38" s="115"/>
      <c r="D38" s="115"/>
      <c r="E38" s="115"/>
      <c r="F38" s="115"/>
      <c r="G38" s="115"/>
      <c r="H38" s="115"/>
      <c r="I38" s="115"/>
      <c r="J38" s="115"/>
      <c r="K38" s="13"/>
    </row>
    <row r="39" spans="1:12" ht="15.75">
      <c r="A39" s="115"/>
      <c r="B39" s="115"/>
      <c r="C39" s="115"/>
      <c r="D39" s="115"/>
      <c r="E39" s="115"/>
      <c r="F39" s="115"/>
      <c r="G39" s="115"/>
      <c r="H39" s="115"/>
      <c r="I39" s="115"/>
      <c r="J39" s="115" t="s">
        <v>0</v>
      </c>
      <c r="K39" s="13"/>
    </row>
    <row r="40" spans="1:12" ht="16.5" thickBot="1">
      <c r="A40" s="116" t="s">
        <v>0</v>
      </c>
      <c r="B40" s="117"/>
      <c r="C40" s="117"/>
      <c r="D40" s="117"/>
      <c r="E40" s="117"/>
      <c r="F40" s="30"/>
      <c r="G40" s="117"/>
      <c r="H40" s="117"/>
      <c r="I40" s="117"/>
      <c r="J40" s="115"/>
      <c r="K40" s="115"/>
      <c r="L40" s="4"/>
    </row>
    <row r="41" spans="1:12" ht="15.75">
      <c r="A41" s="118"/>
      <c r="B41" s="119"/>
      <c r="C41" s="119"/>
      <c r="D41" s="119"/>
      <c r="E41" s="120" t="s">
        <v>0</v>
      </c>
      <c r="F41" s="120" t="s">
        <v>0</v>
      </c>
      <c r="G41" s="121"/>
      <c r="H41" s="119"/>
      <c r="I41" s="119"/>
      <c r="J41" s="122"/>
      <c r="K41" s="115"/>
      <c r="L41" s="4"/>
    </row>
    <row r="42" spans="1:12" ht="15.75">
      <c r="A42" s="91"/>
      <c r="B42" s="93"/>
      <c r="C42" s="93"/>
      <c r="D42" s="97" t="s">
        <v>413</v>
      </c>
      <c r="E42" s="93" t="s">
        <v>413</v>
      </c>
      <c r="F42" s="93" t="s">
        <v>413</v>
      </c>
      <c r="G42" s="97" t="s">
        <v>413</v>
      </c>
      <c r="H42" s="97" t="s">
        <v>413</v>
      </c>
      <c r="I42" s="97" t="s">
        <v>413</v>
      </c>
      <c r="J42" s="123" t="s">
        <v>413</v>
      </c>
      <c r="K42" s="13"/>
      <c r="L42" s="5"/>
    </row>
    <row r="43" spans="1:12" ht="15.75">
      <c r="A43" s="91" t="s">
        <v>0</v>
      </c>
      <c r="B43" s="93" t="s">
        <v>3</v>
      </c>
      <c r="C43" s="93" t="s">
        <v>5</v>
      </c>
      <c r="D43" s="93" t="s">
        <v>12</v>
      </c>
      <c r="E43" s="109" t="s">
        <v>189</v>
      </c>
      <c r="F43" s="109" t="s">
        <v>344</v>
      </c>
      <c r="G43" s="93" t="s">
        <v>248</v>
      </c>
      <c r="H43" s="109" t="s">
        <v>16</v>
      </c>
      <c r="I43" s="109" t="s">
        <v>17</v>
      </c>
      <c r="J43" s="124" t="s">
        <v>83</v>
      </c>
      <c r="K43" s="13"/>
      <c r="L43" s="5"/>
    </row>
    <row r="44" spans="1:12" ht="16.5" thickBot="1">
      <c r="A44" s="100" t="s">
        <v>2</v>
      </c>
      <c r="B44" s="102" t="s">
        <v>4</v>
      </c>
      <c r="C44" s="102" t="s">
        <v>6</v>
      </c>
      <c r="D44" s="102" t="s">
        <v>14</v>
      </c>
      <c r="E44" s="102" t="s">
        <v>14</v>
      </c>
      <c r="F44" s="102" t="s">
        <v>357</v>
      </c>
      <c r="G44" s="102" t="s">
        <v>14</v>
      </c>
      <c r="H44" s="102" t="s">
        <v>412</v>
      </c>
      <c r="I44" s="102" t="s">
        <v>0</v>
      </c>
      <c r="J44" s="125" t="s">
        <v>411</v>
      </c>
      <c r="K44" s="13"/>
      <c r="L44" s="1"/>
    </row>
    <row r="45" spans="1:12" ht="15.75">
      <c r="A45" s="105" t="s">
        <v>7</v>
      </c>
      <c r="B45" s="44" t="s">
        <v>7</v>
      </c>
      <c r="C45" s="44" t="s">
        <v>7</v>
      </c>
      <c r="D45" s="44" t="s">
        <v>15</v>
      </c>
      <c r="E45" s="44" t="s">
        <v>8</v>
      </c>
      <c r="F45" s="44" t="s">
        <v>8</v>
      </c>
      <c r="G45" s="44" t="s">
        <v>8</v>
      </c>
      <c r="H45" s="44" t="s">
        <v>15</v>
      </c>
      <c r="I45" s="44" t="s">
        <v>15</v>
      </c>
      <c r="J45" s="126" t="s">
        <v>15</v>
      </c>
      <c r="K45" s="13"/>
      <c r="L45" s="5"/>
    </row>
    <row r="46" spans="1:12" ht="15.75">
      <c r="A46" s="91"/>
      <c r="B46" s="93"/>
      <c r="C46" s="93"/>
      <c r="D46" s="115"/>
      <c r="E46" s="115"/>
      <c r="F46" s="115"/>
      <c r="G46" s="115"/>
      <c r="H46" s="65"/>
      <c r="I46" s="65"/>
      <c r="J46" s="127"/>
      <c r="K46" s="13"/>
      <c r="L46" s="4"/>
    </row>
    <row r="47" spans="1:12" ht="15.75">
      <c r="A47" s="108" t="str">
        <f t="shared" ref="A47:C57" si="1">+A22</f>
        <v>ALLETE Inc</v>
      </c>
      <c r="B47" s="93" t="str">
        <f t="shared" si="1"/>
        <v>ALE</v>
      </c>
      <c r="C47" s="93" t="str">
        <f t="shared" si="1"/>
        <v>Electric Utility - Cent</v>
      </c>
      <c r="D47" s="128">
        <f t="shared" ref="D47:D57" si="2">(+H22)*G22</f>
        <v>3689972000.0000005</v>
      </c>
      <c r="E47" s="129">
        <f>(1/1)*I22</f>
        <v>0</v>
      </c>
      <c r="F47" s="128">
        <v>12500000</v>
      </c>
      <c r="G47" s="128">
        <f>J22*(1782.7/1929.1)</f>
        <v>1775029889.5858173</v>
      </c>
      <c r="H47" s="337">
        <f t="shared" ref="H47:H60" si="3">+D47+E47+G47</f>
        <v>5465001889.5858173</v>
      </c>
      <c r="I47" s="130">
        <f t="shared" ref="I47:I62" si="4">(+D47)/H47</f>
        <v>0.67520049847222596</v>
      </c>
      <c r="J47" s="131">
        <f t="shared" ref="J47:J60" si="5">(+E47+G47)/H47</f>
        <v>0.32479950152777415</v>
      </c>
      <c r="K47" s="13"/>
      <c r="L47" s="4"/>
    </row>
    <row r="48" spans="1:12" ht="15.75">
      <c r="A48" s="108" t="str">
        <f t="shared" si="1"/>
        <v>Alliant Energy</v>
      </c>
      <c r="B48" s="93" t="str">
        <f t="shared" si="1"/>
        <v>LNT</v>
      </c>
      <c r="C48" s="93" t="str">
        <f t="shared" si="1"/>
        <v>Electric Utility - Cent</v>
      </c>
      <c r="D48" s="128">
        <f t="shared" si="2"/>
        <v>13865161472.860001</v>
      </c>
      <c r="E48" s="128">
        <f>(194.8/200)*I23</f>
        <v>0</v>
      </c>
      <c r="F48" s="128">
        <v>16000000</v>
      </c>
      <c r="G48" s="128">
        <f>J23*(7368/8076)</f>
        <v>7368000000</v>
      </c>
      <c r="H48" s="337">
        <f t="shared" si="3"/>
        <v>21233161472.860001</v>
      </c>
      <c r="I48" s="130">
        <f t="shared" si="4"/>
        <v>0.65299562152260282</v>
      </c>
      <c r="J48" s="131">
        <f t="shared" si="5"/>
        <v>0.34700437847739718</v>
      </c>
      <c r="K48" s="13"/>
      <c r="L48" s="4"/>
    </row>
    <row r="49" spans="1:12" ht="15.75">
      <c r="A49" s="108" t="str">
        <f t="shared" si="1"/>
        <v>AMEREN Corporation</v>
      </c>
      <c r="B49" s="93" t="str">
        <f t="shared" si="1"/>
        <v>AEE</v>
      </c>
      <c r="C49" s="93" t="str">
        <f t="shared" si="1"/>
        <v>Electric Utility - Cent</v>
      </c>
      <c r="D49" s="128">
        <f t="shared" si="2"/>
        <v>23297040000</v>
      </c>
      <c r="E49" s="128">
        <f t="shared" ref="E49:E57" si="6">(1/1)*I24</f>
        <v>0</v>
      </c>
      <c r="F49" s="128">
        <v>0</v>
      </c>
      <c r="G49" s="128">
        <f>J24*(12453/14025)</f>
        <v>12453000000</v>
      </c>
      <c r="H49" s="337">
        <f t="shared" si="3"/>
        <v>35750040000</v>
      </c>
      <c r="I49" s="130">
        <f t="shared" si="4"/>
        <v>0.65166472541009746</v>
      </c>
      <c r="J49" s="131">
        <f t="shared" si="5"/>
        <v>0.34833527458990254</v>
      </c>
      <c r="K49" s="13"/>
      <c r="L49" s="4"/>
    </row>
    <row r="50" spans="1:12" ht="15.75">
      <c r="A50" s="108" t="str">
        <f t="shared" si="1"/>
        <v>American Electric Power</v>
      </c>
      <c r="B50" s="93" t="str">
        <f t="shared" si="1"/>
        <v>AEP</v>
      </c>
      <c r="C50" s="93" t="str">
        <f t="shared" si="1"/>
        <v>Electric Utility - Cent</v>
      </c>
      <c r="D50" s="128">
        <f t="shared" si="2"/>
        <v>48791584390.950005</v>
      </c>
      <c r="E50" s="128">
        <f t="shared" si="6"/>
        <v>45900000</v>
      </c>
      <c r="F50" s="128">
        <v>665500000</v>
      </c>
      <c r="G50" s="128">
        <f>J25*((31767.1/35622.6))</f>
        <v>31767100000</v>
      </c>
      <c r="H50" s="337">
        <f t="shared" si="3"/>
        <v>80604584390.950012</v>
      </c>
      <c r="I50" s="130">
        <f t="shared" si="4"/>
        <v>0.6053202154644215</v>
      </c>
      <c r="J50" s="131">
        <f t="shared" si="5"/>
        <v>0.39467978453557845</v>
      </c>
      <c r="K50" s="13"/>
      <c r="L50" s="4"/>
    </row>
    <row r="51" spans="1:12" ht="15.75">
      <c r="A51" s="108" t="str">
        <f t="shared" si="1"/>
        <v>Centerpoint Energy</v>
      </c>
      <c r="B51" s="93" t="str">
        <f t="shared" si="1"/>
        <v>CNP</v>
      </c>
      <c r="C51" s="93" t="str">
        <f t="shared" si="1"/>
        <v>Electric Utility - Cent</v>
      </c>
      <c r="D51" s="128">
        <f t="shared" si="2"/>
        <v>18879773573.689999</v>
      </c>
      <c r="E51" s="128">
        <f t="shared" si="6"/>
        <v>793000000</v>
      </c>
      <c r="F51" s="128">
        <v>19000000</v>
      </c>
      <c r="G51" s="337">
        <f>J26*(14990/16338)</f>
        <v>14990000000</v>
      </c>
      <c r="H51" s="337">
        <f t="shared" si="3"/>
        <v>34662773573.690002</v>
      </c>
      <c r="I51" s="130">
        <f t="shared" si="4"/>
        <v>0.54467001994382425</v>
      </c>
      <c r="J51" s="131">
        <f t="shared" si="5"/>
        <v>0.45532998005617564</v>
      </c>
      <c r="K51" s="13"/>
      <c r="L51" s="4"/>
    </row>
    <row r="52" spans="1:12" ht="15.75">
      <c r="A52" s="108" t="str">
        <f t="shared" si="1"/>
        <v>CMS Energy</v>
      </c>
      <c r="B52" s="93" t="str">
        <f t="shared" si="1"/>
        <v>CMS</v>
      </c>
      <c r="C52" s="93" t="str">
        <f t="shared" si="1"/>
        <v>Electric Utility - Cent</v>
      </c>
      <c r="D52" s="128">
        <f t="shared" si="2"/>
        <v>18448029000</v>
      </c>
      <c r="E52" s="128">
        <f t="shared" si="6"/>
        <v>224000000</v>
      </c>
      <c r="F52" s="128">
        <v>31000000</v>
      </c>
      <c r="G52" s="337">
        <f>J27*(12384/14212)</f>
        <v>12451095975.232199</v>
      </c>
      <c r="H52" s="337">
        <f t="shared" si="3"/>
        <v>31123124975.232201</v>
      </c>
      <c r="I52" s="130">
        <f t="shared" si="4"/>
        <v>0.59274346694558955</v>
      </c>
      <c r="J52" s="131">
        <f t="shared" si="5"/>
        <v>0.4072565330544104</v>
      </c>
      <c r="K52" s="13"/>
      <c r="L52" s="4"/>
    </row>
    <row r="53" spans="1:12" ht="15.75">
      <c r="A53" s="108" t="str">
        <f t="shared" si="1"/>
        <v>DTE Energy</v>
      </c>
      <c r="B53" s="93" t="str">
        <f t="shared" si="1"/>
        <v>DTE</v>
      </c>
      <c r="C53" s="93" t="str">
        <f t="shared" si="1"/>
        <v>Electric Utility - Cent</v>
      </c>
      <c r="D53" s="128">
        <f t="shared" si="2"/>
        <v>24167975149.290001</v>
      </c>
      <c r="E53" s="128">
        <f t="shared" si="6"/>
        <v>0</v>
      </c>
      <c r="F53" s="128">
        <v>81000000</v>
      </c>
      <c r="G53" s="128">
        <f>J28*((82+1162+18+14084+1199+710)/17978)</f>
        <v>17273235899.43264</v>
      </c>
      <c r="H53" s="337">
        <f t="shared" si="3"/>
        <v>41441211048.722641</v>
      </c>
      <c r="I53" s="130">
        <f t="shared" si="4"/>
        <v>0.58318699038200383</v>
      </c>
      <c r="J53" s="131">
        <f t="shared" si="5"/>
        <v>0.41681300961799617</v>
      </c>
      <c r="K53" s="13"/>
      <c r="L53" s="4"/>
    </row>
    <row r="54" spans="1:12" ht="15.75">
      <c r="A54" s="108" t="str">
        <f t="shared" si="1"/>
        <v>Duke Energy</v>
      </c>
      <c r="B54" s="93" t="str">
        <f t="shared" si="1"/>
        <v>DUK</v>
      </c>
      <c r="C54" s="93" t="str">
        <f t="shared" si="1"/>
        <v>Electric Utility - East</v>
      </c>
      <c r="D54" s="128">
        <f t="shared" si="2"/>
        <v>79302300000</v>
      </c>
      <c r="E54" s="128">
        <f t="shared" si="6"/>
        <v>1962000000</v>
      </c>
      <c r="F54" s="128">
        <v>1055000000</v>
      </c>
      <c r="G54" s="128">
        <f>J29*(63454/71215)</f>
        <v>63454000000</v>
      </c>
      <c r="H54" s="337">
        <f t="shared" si="3"/>
        <v>144718300000</v>
      </c>
      <c r="I54" s="130">
        <f t="shared" si="4"/>
        <v>0.54797700083541612</v>
      </c>
      <c r="J54" s="131">
        <f t="shared" si="5"/>
        <v>0.45202299916458388</v>
      </c>
      <c r="K54" s="13"/>
      <c r="L54" s="4"/>
    </row>
    <row r="55" spans="1:12" ht="15.75">
      <c r="A55" s="108" t="str">
        <f t="shared" si="1"/>
        <v>Entergy Corp</v>
      </c>
      <c r="B55" s="93" t="str">
        <f t="shared" si="1"/>
        <v>ETR</v>
      </c>
      <c r="C55" s="93" t="str">
        <f t="shared" si="1"/>
        <v>Electric Utility - Cent</v>
      </c>
      <c r="D55" s="128">
        <f t="shared" si="2"/>
        <v>23757356250</v>
      </c>
      <c r="E55" s="128">
        <f t="shared" si="6"/>
        <v>0</v>
      </c>
      <c r="F55" s="128">
        <v>191452000</v>
      </c>
      <c r="G55" s="128">
        <f>J30*(22573837/23623512)</f>
        <v>24780275435.782497</v>
      </c>
      <c r="H55" s="337">
        <f t="shared" si="3"/>
        <v>48537631685.782501</v>
      </c>
      <c r="I55" s="130">
        <f t="shared" si="4"/>
        <v>0.48946261745520919</v>
      </c>
      <c r="J55" s="131">
        <f t="shared" si="5"/>
        <v>0.51053738254479075</v>
      </c>
      <c r="K55" s="13"/>
      <c r="L55" s="4"/>
    </row>
    <row r="56" spans="1:12" ht="15.75">
      <c r="A56" s="108" t="str">
        <f t="shared" si="1"/>
        <v>Evergy Inc</v>
      </c>
      <c r="B56" s="93" t="str">
        <f t="shared" si="1"/>
        <v>EVRG</v>
      </c>
      <c r="C56" s="93" t="str">
        <f t="shared" si="1"/>
        <v>Electric Utility - Cent</v>
      </c>
      <c r="D56" s="128">
        <f t="shared" si="2"/>
        <v>14445336387.65</v>
      </c>
      <c r="E56" s="128">
        <f t="shared" si="6"/>
        <v>0</v>
      </c>
      <c r="F56" s="128">
        <v>76100000</v>
      </c>
      <c r="G56" s="128">
        <f>J31*(9160/10344.8)</f>
        <v>9160000000.0000019</v>
      </c>
      <c r="H56" s="337">
        <f t="shared" si="3"/>
        <v>23605336387.650002</v>
      </c>
      <c r="I56" s="130">
        <f t="shared" si="4"/>
        <v>0.61195215142994563</v>
      </c>
      <c r="J56" s="131">
        <f t="shared" si="5"/>
        <v>0.38804784857005437</v>
      </c>
      <c r="K56" s="13"/>
      <c r="L56" s="4"/>
    </row>
    <row r="57" spans="1:12" ht="15.75">
      <c r="A57" s="108" t="str">
        <f t="shared" si="1"/>
        <v>FirstEnergy Corp</v>
      </c>
      <c r="B57" s="93" t="str">
        <f t="shared" si="1"/>
        <v>FE</v>
      </c>
      <c r="C57" s="93" t="str">
        <f t="shared" si="1"/>
        <v>Electric Utility - East</v>
      </c>
      <c r="D57" s="128">
        <f t="shared" si="2"/>
        <v>23995171288.079998</v>
      </c>
      <c r="E57" s="128">
        <f t="shared" si="6"/>
        <v>0</v>
      </c>
      <c r="F57" s="128">
        <v>295000000</v>
      </c>
      <c r="G57" s="128">
        <f>J32*(19784/21641)</f>
        <v>19704465412.873714</v>
      </c>
      <c r="H57" s="337">
        <f t="shared" si="3"/>
        <v>43699636700.953712</v>
      </c>
      <c r="I57" s="130">
        <f t="shared" si="4"/>
        <v>0.54909315270248737</v>
      </c>
      <c r="J57" s="131">
        <f t="shared" si="5"/>
        <v>0.45090684729751263</v>
      </c>
      <c r="K57" s="13"/>
      <c r="L57" s="4"/>
    </row>
    <row r="58" spans="1:12" ht="15.75">
      <c r="A58" s="108" t="str">
        <f t="shared" ref="A58:C62" si="7">+A33</f>
        <v>OGE Energy Corp.</v>
      </c>
      <c r="B58" s="93" t="str">
        <f t="shared" si="7"/>
        <v>OGE</v>
      </c>
      <c r="C58" s="93" t="str">
        <f t="shared" si="7"/>
        <v>Electric Utility - Cent</v>
      </c>
      <c r="D58" s="128">
        <f t="shared" ref="D58:D62" si="8">(+H33)*G33</f>
        <v>7917909999.999999</v>
      </c>
      <c r="E58" s="128">
        <f t="shared" ref="E58:E60" si="9">(1/1)*I33</f>
        <v>0</v>
      </c>
      <c r="F58" s="128">
        <v>34800000</v>
      </c>
      <c r="G58" s="128">
        <f>J33*((491.2+3477.1+135.4+50+7.3)/(499.9+3854.2+135.4+49.8+9.3))</f>
        <v>4161000000.0000005</v>
      </c>
      <c r="H58" s="337">
        <f t="shared" si="3"/>
        <v>12078910000</v>
      </c>
      <c r="I58" s="130">
        <f t="shared" si="4"/>
        <v>0.65551527414311384</v>
      </c>
      <c r="J58" s="131">
        <f t="shared" si="5"/>
        <v>0.34448472585688611</v>
      </c>
      <c r="K58" s="13"/>
      <c r="L58" s="4"/>
    </row>
    <row r="59" spans="1:12" ht="15.75">
      <c r="A59" s="108" t="str">
        <f t="shared" si="7"/>
        <v>Otter Tail Corp</v>
      </c>
      <c r="B59" s="93" t="str">
        <f t="shared" si="7"/>
        <v>OTTR</v>
      </c>
      <c r="C59" s="93" t="str">
        <f t="shared" si="7"/>
        <v>Electric Utility - Cent</v>
      </c>
      <c r="D59" s="128">
        <f t="shared" si="8"/>
        <v>2444162644.23</v>
      </c>
      <c r="E59" s="128">
        <f t="shared" si="9"/>
        <v>0</v>
      </c>
      <c r="F59" s="128">
        <f>18947000+(33130000*0.9)</f>
        <v>48764000</v>
      </c>
      <c r="G59" s="128">
        <f>J34*(689819/823821)</f>
        <v>689819000</v>
      </c>
      <c r="H59" s="337">
        <f t="shared" si="3"/>
        <v>3133981644.23</v>
      </c>
      <c r="I59" s="130">
        <f t="shared" si="4"/>
        <v>0.77989054234888977</v>
      </c>
      <c r="J59" s="131">
        <f t="shared" si="5"/>
        <v>0.22010945765111023</v>
      </c>
      <c r="K59" s="13"/>
      <c r="L59" s="4"/>
    </row>
    <row r="60" spans="1:12" ht="15.75">
      <c r="A60" s="108" t="str">
        <f t="shared" si="7"/>
        <v>PPL Corporation</v>
      </c>
      <c r="B60" s="93" t="str">
        <f t="shared" si="7"/>
        <v>PPL</v>
      </c>
      <c r="C60" s="93" t="str">
        <f t="shared" si="7"/>
        <v>Electric Utility - East</v>
      </c>
      <c r="D60" s="128">
        <f t="shared" si="8"/>
        <v>21520150140</v>
      </c>
      <c r="E60" s="128">
        <f t="shared" si="9"/>
        <v>0</v>
      </c>
      <c r="F60" s="128">
        <v>69000000</v>
      </c>
      <c r="G60" s="128">
        <f>J35*(12239/13243)</f>
        <v>12239000000</v>
      </c>
      <c r="H60" s="337">
        <f t="shared" si="3"/>
        <v>33759150140</v>
      </c>
      <c r="I60" s="130">
        <f t="shared" si="4"/>
        <v>0.63746125274941534</v>
      </c>
      <c r="J60" s="131">
        <f t="shared" si="5"/>
        <v>0.36253874725058466</v>
      </c>
      <c r="K60" s="13"/>
      <c r="L60" s="4"/>
    </row>
    <row r="61" spans="1:12" ht="15.75">
      <c r="A61" s="108" t="str">
        <f t="shared" si="7"/>
        <v>The Southern Company</v>
      </c>
      <c r="B61" s="93" t="str">
        <f t="shared" si="7"/>
        <v>SO</v>
      </c>
      <c r="C61" s="93" t="str">
        <f>+C36</f>
        <v>Electric Utility - East</v>
      </c>
      <c r="D61" s="128">
        <f t="shared" si="8"/>
        <v>78479590000</v>
      </c>
      <c r="E61" s="128">
        <f>(1.028554553)*I36</f>
        <v>0</v>
      </c>
      <c r="F61" s="128">
        <f>1388000000+197000000</f>
        <v>1585000000</v>
      </c>
      <c r="G61" s="128">
        <f>J36*(48.6/54.6)</f>
        <v>48903527472.527473</v>
      </c>
      <c r="H61" s="337">
        <f>+D61+E61+G61</f>
        <v>127383117472.52747</v>
      </c>
      <c r="I61" s="130">
        <f t="shared" si="4"/>
        <v>0.6160909825191363</v>
      </c>
      <c r="J61" s="131">
        <f>(+E61+G61)/H61</f>
        <v>0.38390901748086381</v>
      </c>
      <c r="K61" s="13"/>
      <c r="L61" s="4"/>
    </row>
    <row r="62" spans="1:12" ht="16.5" thickBot="1">
      <c r="A62" s="112" t="str">
        <f t="shared" si="7"/>
        <v>WEC Energy Group</v>
      </c>
      <c r="B62" s="102" t="str">
        <f t="shared" si="7"/>
        <v>WEC</v>
      </c>
      <c r="C62" s="102" t="str">
        <f t="shared" si="7"/>
        <v>Electric Utility - Cent</v>
      </c>
      <c r="D62" s="340">
        <f t="shared" si="8"/>
        <v>29575141626.560001</v>
      </c>
      <c r="E62" s="340">
        <f>(1/1)*I37</f>
        <v>30400000</v>
      </c>
      <c r="F62" s="340">
        <v>29400000</v>
      </c>
      <c r="G62" s="340">
        <f>13921300000+183200000</f>
        <v>14104500000</v>
      </c>
      <c r="H62" s="114">
        <f>+D62+E62+G62</f>
        <v>43710041626.559998</v>
      </c>
      <c r="I62" s="341">
        <f t="shared" si="4"/>
        <v>0.67662121851169643</v>
      </c>
      <c r="J62" s="342">
        <f>(+E62+G62)/H62</f>
        <v>0.32337878148830362</v>
      </c>
      <c r="K62" s="13"/>
    </row>
    <row r="63" spans="1:12" ht="15.75">
      <c r="A63" s="13"/>
      <c r="B63" s="13"/>
      <c r="C63" s="13"/>
      <c r="D63" s="13"/>
      <c r="E63" s="13"/>
      <c r="F63" s="13"/>
      <c r="G63" s="13"/>
      <c r="H63" s="132" t="s">
        <v>65</v>
      </c>
      <c r="I63" s="136">
        <v>0.80530000000000002</v>
      </c>
      <c r="J63" s="136">
        <v>0.54500000000000004</v>
      </c>
      <c r="K63" s="13"/>
    </row>
    <row r="64" spans="1:12" ht="15.75">
      <c r="G64" s="13"/>
      <c r="H64" s="343" t="s">
        <v>66</v>
      </c>
      <c r="I64" s="344">
        <v>0.45500000000000002</v>
      </c>
      <c r="J64" s="344">
        <v>0.19470000000000001</v>
      </c>
      <c r="K64" s="13"/>
    </row>
    <row r="65" spans="1:11" ht="15.75">
      <c r="G65" s="13" t="s">
        <v>0</v>
      </c>
      <c r="H65" s="15" t="s">
        <v>18</v>
      </c>
      <c r="I65" s="134">
        <f>MEDIAN(I47:I62)</f>
        <v>0.61402156697454102</v>
      </c>
      <c r="J65" s="135">
        <f>MEDIAN(J47:J62)</f>
        <v>0.38597843302545909</v>
      </c>
      <c r="K65" s="13"/>
    </row>
    <row r="66" spans="1:11" ht="15.75">
      <c r="G66" s="13" t="s">
        <v>0</v>
      </c>
      <c r="H66" s="15" t="s">
        <v>466</v>
      </c>
      <c r="I66" s="134">
        <f>AVERAGE(I47:I62)</f>
        <v>0.61686535817725474</v>
      </c>
      <c r="J66" s="135">
        <f>AVERAGE(J47:J62)</f>
        <v>0.38313464182274531</v>
      </c>
      <c r="K66" s="13"/>
    </row>
    <row r="67" spans="1:11" ht="16.5" thickBot="1">
      <c r="D67" t="s">
        <v>0</v>
      </c>
      <c r="G67" s="13"/>
      <c r="H67" s="13"/>
      <c r="I67" s="65"/>
      <c r="J67" s="65"/>
      <c r="K67" s="13"/>
    </row>
    <row r="68" spans="1:11" ht="21" thickBot="1">
      <c r="G68" s="13"/>
      <c r="H68" s="224" t="s">
        <v>250</v>
      </c>
      <c r="I68" s="438">
        <v>0.62</v>
      </c>
      <c r="J68" s="439">
        <v>0.38</v>
      </c>
      <c r="K68" s="13"/>
    </row>
    <row r="69" spans="1:11" ht="15.75">
      <c r="E69" s="133"/>
      <c r="F69" s="13"/>
      <c r="G69" s="13"/>
      <c r="H69" s="13"/>
      <c r="I69" s="65"/>
      <c r="J69" s="65" t="s">
        <v>0</v>
      </c>
      <c r="K69" s="13"/>
    </row>
    <row r="70" spans="1:11">
      <c r="E70" s="133"/>
      <c r="F70" s="13"/>
      <c r="G70" s="13"/>
      <c r="H70" s="13"/>
      <c r="I70" s="13"/>
      <c r="J70" s="13"/>
      <c r="K70" s="13"/>
    </row>
    <row r="71" spans="1:11">
      <c r="E71" s="133"/>
      <c r="F71" s="13"/>
      <c r="G71" s="13"/>
      <c r="H71" s="13"/>
      <c r="I71" s="13"/>
      <c r="J71" s="13"/>
      <c r="K71" s="13"/>
    </row>
    <row r="72" spans="1:11" ht="23.25">
      <c r="A72" s="24" t="s">
        <v>107</v>
      </c>
      <c r="B72" s="13"/>
      <c r="C72" s="77"/>
      <c r="D72" s="137"/>
      <c r="E72" s="133"/>
      <c r="F72" s="13"/>
      <c r="G72" s="13"/>
      <c r="H72" s="13"/>
      <c r="I72" s="13"/>
      <c r="J72" s="13"/>
      <c r="K72" s="13"/>
    </row>
    <row r="73" spans="1:11" ht="16.5">
      <c r="A73" s="161" t="s">
        <v>88</v>
      </c>
      <c r="B73" s="13"/>
      <c r="C73" s="77"/>
      <c r="D73" s="137"/>
      <c r="E73" s="133"/>
      <c r="F73" s="13"/>
      <c r="G73" s="13"/>
      <c r="H73" s="13"/>
      <c r="I73" s="13"/>
      <c r="J73" s="13"/>
      <c r="K73" s="13"/>
    </row>
    <row r="74" spans="1:11" ht="16.5">
      <c r="A74" s="65" t="s">
        <v>431</v>
      </c>
      <c r="B74" s="13"/>
      <c r="C74" s="77"/>
      <c r="D74" s="137"/>
      <c r="E74" s="133"/>
      <c r="F74" s="13"/>
      <c r="G74" s="13"/>
      <c r="H74" s="13"/>
      <c r="I74" s="13"/>
      <c r="J74" s="13"/>
      <c r="K74" s="13"/>
    </row>
    <row r="75" spans="1:11" ht="16.5">
      <c r="A75" s="115" t="s">
        <v>193</v>
      </c>
      <c r="E75" s="77" t="s">
        <v>0</v>
      </c>
    </row>
    <row r="76" spans="1:11" ht="15.75">
      <c r="A76" s="115" t="s">
        <v>191</v>
      </c>
    </row>
    <row r="77" spans="1:11" ht="15.75">
      <c r="A77" s="115" t="s">
        <v>192</v>
      </c>
    </row>
    <row r="78" spans="1:11" ht="15.75">
      <c r="A78" s="115" t="s">
        <v>364</v>
      </c>
    </row>
    <row r="81" spans="1:1" ht="23.25">
      <c r="A81" s="291" t="s">
        <v>365</v>
      </c>
    </row>
    <row r="82" spans="1:1" ht="15.75">
      <c r="A82" s="338" t="s">
        <v>426</v>
      </c>
    </row>
    <row r="83" spans="1:1" ht="15.75">
      <c r="A83" s="160" t="s">
        <v>0</v>
      </c>
    </row>
    <row r="84" spans="1:1" ht="23.25">
      <c r="A84" s="291" t="s">
        <v>366</v>
      </c>
    </row>
    <row r="85" spans="1:1" ht="15.75">
      <c r="A85" s="160" t="s">
        <v>423</v>
      </c>
    </row>
    <row r="86" spans="1:1" ht="15.75">
      <c r="A86" s="160" t="s">
        <v>0</v>
      </c>
    </row>
    <row r="87" spans="1:1" ht="23.25">
      <c r="A87" s="291" t="s">
        <v>424</v>
      </c>
    </row>
    <row r="88" spans="1:1" ht="15.75">
      <c r="A88" s="160" t="s">
        <v>425</v>
      </c>
    </row>
  </sheetData>
  <pageMargins left="0.25" right="0.25" top="0.75" bottom="0.75" header="0.3" footer="0.3"/>
  <pageSetup scale="35" orientation="landscape" r:id="rId1"/>
  <rowBreaks count="1" manualBreakCount="1">
    <brk id="68" max="11" man="1"/>
  </rowBreaks>
  <colBreaks count="1" manualBreakCount="1">
    <brk id="11" max="96" man="1"/>
  </colBreaks>
  <ignoredErrors>
    <ignoredError sqref="E4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78"/>
  <sheetViews>
    <sheetView view="pageBreakPreview" topLeftCell="A3" zoomScale="70" zoomScaleNormal="80" zoomScaleSheetLayoutView="70" zoomScalePageLayoutView="70" workbookViewId="0">
      <pane xSplit="1" topLeftCell="B1" activePane="topRight" state="frozen"/>
      <selection activeCell="F4" sqref="F4"/>
      <selection pane="topRight" activeCell="A13" sqref="A13"/>
    </sheetView>
  </sheetViews>
  <sheetFormatPr defaultRowHeight="15"/>
  <cols>
    <col min="1" max="1" width="62.42578125" customWidth="1"/>
    <col min="2" max="2" width="11.5703125" bestFit="1" customWidth="1"/>
    <col min="3" max="3" width="24.140625"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5" t="s">
        <v>1</v>
      </c>
      <c r="B1" s="13"/>
      <c r="C1" s="13"/>
      <c r="D1" s="13"/>
      <c r="E1" s="13"/>
      <c r="F1" s="13"/>
      <c r="G1" s="13"/>
      <c r="H1" s="13"/>
    </row>
    <row r="2" spans="1:9" ht="15.75">
      <c r="A2" s="26" t="s">
        <v>9</v>
      </c>
      <c r="B2" s="13"/>
      <c r="C2" s="13"/>
      <c r="D2" s="13"/>
      <c r="E2" s="13"/>
      <c r="F2" s="13"/>
      <c r="G2" s="13"/>
      <c r="H2" s="13"/>
    </row>
    <row r="3" spans="1:9">
      <c r="A3" s="27" t="s">
        <v>97</v>
      </c>
      <c r="B3" s="13"/>
      <c r="C3" s="13"/>
      <c r="D3" s="13"/>
      <c r="E3" s="13"/>
      <c r="F3" s="13"/>
      <c r="G3" s="13"/>
      <c r="H3" s="13"/>
    </row>
    <row r="4" spans="1:9">
      <c r="A4" s="27"/>
      <c r="B4" s="13"/>
      <c r="C4" s="13"/>
      <c r="D4" s="13"/>
      <c r="E4" s="13"/>
      <c r="F4" s="222" t="s">
        <v>0</v>
      </c>
      <c r="G4" s="13"/>
      <c r="H4" s="13"/>
    </row>
    <row r="5" spans="1:9">
      <c r="B5" s="13"/>
      <c r="C5" s="13"/>
      <c r="D5" s="13"/>
      <c r="E5" s="28"/>
      <c r="F5" s="222" t="s">
        <v>0</v>
      </c>
      <c r="G5" s="13"/>
      <c r="H5" s="13" t="s">
        <v>0</v>
      </c>
    </row>
    <row r="6" spans="1:9">
      <c r="A6" s="89"/>
      <c r="B6" s="36"/>
      <c r="C6" s="36"/>
      <c r="D6" s="36"/>
      <c r="E6" s="36"/>
      <c r="F6" s="36"/>
      <c r="G6" s="15"/>
      <c r="H6" s="88"/>
      <c r="I6" s="3"/>
    </row>
    <row r="7" spans="1:9">
      <c r="A7" s="45"/>
      <c r="B7" s="45"/>
      <c r="C7" s="45"/>
      <c r="D7" s="45"/>
      <c r="E7" s="45"/>
      <c r="F7" s="45"/>
      <c r="G7" s="45"/>
      <c r="H7" s="45"/>
      <c r="I7" s="2"/>
    </row>
    <row r="8" spans="1:9" ht="15.75" thickBot="1">
      <c r="A8" s="45"/>
      <c r="B8" s="45"/>
      <c r="C8" s="45"/>
      <c r="D8" s="90"/>
      <c r="E8" s="30"/>
      <c r="F8" s="90"/>
      <c r="H8" s="45"/>
      <c r="I8" s="2"/>
    </row>
    <row r="9" spans="1:9" ht="21" thickBot="1">
      <c r="A9" s="29" t="str">
        <f>+'S&amp;D'!A12</f>
        <v>Electric Utilities</v>
      </c>
      <c r="B9" s="45"/>
      <c r="C9" s="45"/>
      <c r="D9" s="45"/>
      <c r="E9" s="33" t="s">
        <v>355</v>
      </c>
      <c r="F9" s="45"/>
      <c r="H9" s="13"/>
    </row>
    <row r="10" spans="1:9" ht="18.75" thickBot="1">
      <c r="A10" s="32"/>
      <c r="B10" s="45"/>
      <c r="C10" s="45"/>
      <c r="D10" s="90"/>
      <c r="E10" s="38" t="s">
        <v>111</v>
      </c>
      <c r="F10" s="90"/>
      <c r="H10" s="13"/>
    </row>
    <row r="11" spans="1:9" ht="18">
      <c r="A11" s="32"/>
      <c r="B11" s="45"/>
      <c r="C11" s="45"/>
      <c r="D11" s="45"/>
      <c r="E11" s="36"/>
      <c r="F11" s="45"/>
      <c r="H11" s="13"/>
    </row>
    <row r="12" spans="1:9" ht="18">
      <c r="A12" s="32"/>
      <c r="B12" s="45"/>
      <c r="C12" s="45"/>
      <c r="D12" s="45"/>
      <c r="E12" s="36"/>
      <c r="F12" s="45"/>
      <c r="H12" s="13"/>
    </row>
    <row r="13" spans="1:9" ht="18">
      <c r="A13" s="32"/>
      <c r="B13" s="45"/>
      <c r="C13" s="45"/>
      <c r="D13" s="45"/>
      <c r="E13" s="36"/>
      <c r="F13" s="45"/>
      <c r="H13" s="13"/>
    </row>
    <row r="14" spans="1:9" ht="18">
      <c r="A14" s="32"/>
      <c r="B14" s="45"/>
      <c r="C14" s="45"/>
      <c r="D14" s="45"/>
      <c r="E14" s="14" t="s">
        <v>0</v>
      </c>
      <c r="F14" s="45"/>
      <c r="H14" s="13"/>
    </row>
    <row r="15" spans="1:9" ht="15.75" thickBot="1">
      <c r="A15" s="43" t="s">
        <v>0</v>
      </c>
      <c r="B15" s="43" t="s">
        <v>0</v>
      </c>
      <c r="C15" s="43" t="s">
        <v>0</v>
      </c>
      <c r="D15" s="43"/>
      <c r="E15" s="43"/>
      <c r="F15" s="43"/>
      <c r="H15" s="13"/>
    </row>
    <row r="16" spans="1:9" ht="15.75">
      <c r="A16" s="91"/>
      <c r="B16" s="92"/>
      <c r="C16" s="93"/>
      <c r="D16" s="261" t="s">
        <v>0</v>
      </c>
      <c r="E16" s="262" t="s">
        <v>0</v>
      </c>
      <c r="F16" s="261" t="s">
        <v>0</v>
      </c>
      <c r="H16" s="13"/>
    </row>
    <row r="17" spans="1:10" ht="15.75">
      <c r="A17" s="91" t="s">
        <v>0</v>
      </c>
      <c r="B17" s="92" t="s">
        <v>3</v>
      </c>
      <c r="C17" s="93" t="s">
        <v>5</v>
      </c>
      <c r="D17" s="94" t="s">
        <v>345</v>
      </c>
      <c r="E17" s="263" t="s">
        <v>95</v>
      </c>
      <c r="F17" s="94" t="s">
        <v>347</v>
      </c>
      <c r="H17" s="13"/>
    </row>
    <row r="18" spans="1:10" ht="15.75">
      <c r="A18" s="91"/>
      <c r="B18" s="92" t="s">
        <v>4</v>
      </c>
      <c r="C18" s="93" t="s">
        <v>6</v>
      </c>
      <c r="D18" s="94" t="s">
        <v>356</v>
      </c>
      <c r="E18" s="263" t="s">
        <v>356</v>
      </c>
      <c r="F18" s="94" t="s">
        <v>167</v>
      </c>
      <c r="H18" s="13"/>
    </row>
    <row r="19" spans="1:10" ht="16.5" thickBot="1">
      <c r="A19" s="100" t="s">
        <v>2</v>
      </c>
      <c r="B19" s="101" t="s">
        <v>0</v>
      </c>
      <c r="C19" s="102" t="s">
        <v>0</v>
      </c>
      <c r="D19" s="101" t="s">
        <v>0</v>
      </c>
      <c r="E19" s="125" t="s">
        <v>0</v>
      </c>
      <c r="F19" s="101" t="s">
        <v>0</v>
      </c>
      <c r="H19" s="13"/>
    </row>
    <row r="20" spans="1:10">
      <c r="A20" s="296" t="s">
        <v>7</v>
      </c>
      <c r="B20" s="297" t="s">
        <v>7</v>
      </c>
      <c r="C20" s="298" t="s">
        <v>7</v>
      </c>
      <c r="D20" s="106" t="s">
        <v>7</v>
      </c>
      <c r="E20" s="126" t="s">
        <v>346</v>
      </c>
      <c r="F20" s="106"/>
      <c r="H20" s="13"/>
    </row>
    <row r="21" spans="1:10" ht="15.75">
      <c r="A21" s="91"/>
      <c r="B21" s="92"/>
      <c r="C21" s="264"/>
      <c r="D21" s="92"/>
      <c r="E21" s="264"/>
      <c r="F21" s="92"/>
      <c r="H21" s="13"/>
    </row>
    <row r="22" spans="1:10" ht="15.75">
      <c r="A22" s="108" t="str">
        <f>+'S&amp;D'!A22</f>
        <v>ALLETE Inc</v>
      </c>
      <c r="B22" s="91" t="str">
        <f>+'S&amp;D'!B22</f>
        <v>ALE</v>
      </c>
      <c r="C22" s="92" t="str">
        <f>+'S&amp;D'!C22</f>
        <v>Electric Utility - Cent</v>
      </c>
      <c r="D22" s="278">
        <f>+'S&amp;D'!D47</f>
        <v>3689972000.0000005</v>
      </c>
      <c r="E22" s="280">
        <f>3348300000-656400000</f>
        <v>2691900000</v>
      </c>
      <c r="F22" s="110">
        <f>+D22/E22</f>
        <v>1.3707686021026042</v>
      </c>
      <c r="H22" s="13"/>
    </row>
    <row r="23" spans="1:10" ht="15.75">
      <c r="A23" s="108" t="str">
        <f>+'S&amp;D'!A23</f>
        <v>Alliant Energy</v>
      </c>
      <c r="B23" s="91" t="str">
        <f>+'S&amp;D'!B23</f>
        <v>LNT</v>
      </c>
      <c r="C23" s="92" t="str">
        <f>+'S&amp;D'!C23</f>
        <v>Electric Utility - Cent</v>
      </c>
      <c r="D23" s="278">
        <f>+'S&amp;D'!D48</f>
        <v>13865161472.860001</v>
      </c>
      <c r="E23" s="280">
        <v>6276000000</v>
      </c>
      <c r="F23" s="110">
        <f t="shared" ref="F23:F37" si="0">+D23/E23</f>
        <v>2.2092354163256851</v>
      </c>
      <c r="H23" s="13"/>
    </row>
    <row r="24" spans="1:10" ht="15.75">
      <c r="A24" s="108" t="str">
        <f>+'S&amp;D'!A24</f>
        <v>AMEREN Corporation</v>
      </c>
      <c r="B24" s="91" t="str">
        <f>+'S&amp;D'!B24</f>
        <v>AEE</v>
      </c>
      <c r="C24" s="92" t="str">
        <f>+'S&amp;D'!C24</f>
        <v>Electric Utility - Cent</v>
      </c>
      <c r="D24" s="278">
        <f>+'S&amp;D'!D49</f>
        <v>23297040000</v>
      </c>
      <c r="E24" s="280">
        <v>10508000000</v>
      </c>
      <c r="F24" s="110">
        <f t="shared" si="0"/>
        <v>2.2170765131328514</v>
      </c>
      <c r="H24" s="13"/>
    </row>
    <row r="25" spans="1:10" ht="15.75">
      <c r="A25" s="108" t="str">
        <f>+'S&amp;D'!A25</f>
        <v>American Electric Power</v>
      </c>
      <c r="B25" s="91" t="str">
        <f>+'S&amp;D'!B25</f>
        <v>AEP</v>
      </c>
      <c r="C25" s="92" t="str">
        <f>+'S&amp;D'!C25</f>
        <v>Electric Utility - Cent</v>
      </c>
      <c r="D25" s="278">
        <f>+'S&amp;D'!D50</f>
        <v>48791584390.950005</v>
      </c>
      <c r="E25" s="280">
        <v>23893400000</v>
      </c>
      <c r="F25" s="110">
        <f t="shared" si="0"/>
        <v>2.0420528008131953</v>
      </c>
      <c r="H25" s="13"/>
    </row>
    <row r="26" spans="1:10" ht="15.75">
      <c r="A26" s="108" t="str">
        <f>+'S&amp;D'!A26</f>
        <v>Centerpoint Energy</v>
      </c>
      <c r="B26" s="91" t="str">
        <f>+'S&amp;D'!B26</f>
        <v>CNP</v>
      </c>
      <c r="C26" s="92" t="str">
        <f>+'S&amp;D'!C26</f>
        <v>Electric Utility - Cent</v>
      </c>
      <c r="D26" s="278">
        <f>+'S&amp;D'!D51</f>
        <v>18879773573.689999</v>
      </c>
      <c r="E26" s="280">
        <f>10042000000-790000000</f>
        <v>9252000000</v>
      </c>
      <c r="F26" s="110">
        <f t="shared" si="0"/>
        <v>2.0406153884230434</v>
      </c>
      <c r="H26" s="13"/>
    </row>
    <row r="27" spans="1:10" ht="15.75">
      <c r="A27" s="108" t="str">
        <f>+'S&amp;D'!A27</f>
        <v>CMS Energy</v>
      </c>
      <c r="B27" s="91" t="str">
        <f>+'S&amp;D'!B27</f>
        <v>CMS</v>
      </c>
      <c r="C27" s="92" t="str">
        <f>+'S&amp;D'!C27</f>
        <v>Electric Utility - Cent</v>
      </c>
      <c r="D27" s="278">
        <f>+'S&amp;D'!D52</f>
        <v>18448029000</v>
      </c>
      <c r="E27" s="280">
        <v>7015000000</v>
      </c>
      <c r="F27" s="110">
        <f t="shared" si="0"/>
        <v>2.6297974340698502</v>
      </c>
      <c r="H27" s="13"/>
      <c r="J27" s="10" t="s">
        <v>0</v>
      </c>
    </row>
    <row r="28" spans="1:10" ht="15.75">
      <c r="A28" s="108" t="str">
        <f>+'S&amp;D'!A28</f>
        <v>DTE Energy</v>
      </c>
      <c r="B28" s="91" t="str">
        <f>+'S&amp;D'!B28</f>
        <v>DTE</v>
      </c>
      <c r="C28" s="92" t="str">
        <f>+'S&amp;D'!C28</f>
        <v>Electric Utility - Cent</v>
      </c>
      <c r="D28" s="278">
        <f>+'S&amp;D'!D53</f>
        <v>24167975149.290001</v>
      </c>
      <c r="E28" s="280">
        <v>10397000000</v>
      </c>
      <c r="F28" s="110">
        <f t="shared" si="0"/>
        <v>2.32451429732519</v>
      </c>
      <c r="H28" s="13"/>
    </row>
    <row r="29" spans="1:10" ht="15.75">
      <c r="A29" s="108" t="str">
        <f>+'S&amp;D'!A29</f>
        <v>Duke Energy</v>
      </c>
      <c r="B29" s="91" t="str">
        <f>+'S&amp;D'!B29</f>
        <v>DUK</v>
      </c>
      <c r="C29" s="92" t="str">
        <f>+'S&amp;D'!C29</f>
        <v>Electric Utility - East</v>
      </c>
      <c r="D29" s="278">
        <f>+'S&amp;D'!D54</f>
        <v>79302300000</v>
      </c>
      <c r="E29" s="280">
        <v>49322000000</v>
      </c>
      <c r="F29" s="110">
        <f t="shared" si="0"/>
        <v>1.6078484246380926</v>
      </c>
      <c r="H29" s="13"/>
    </row>
    <row r="30" spans="1:10" ht="15.75">
      <c r="A30" s="108" t="str">
        <f>+'S&amp;D'!A30</f>
        <v>Entergy Corp</v>
      </c>
      <c r="B30" s="91" t="str">
        <f>+'S&amp;D'!B30</f>
        <v>ETR</v>
      </c>
      <c r="C30" s="92" t="str">
        <f>+'S&amp;D'!C30</f>
        <v>Electric Utility - Cent</v>
      </c>
      <c r="D30" s="278">
        <f>+'S&amp;D'!D55</f>
        <v>23757356250</v>
      </c>
      <c r="E30" s="280">
        <v>12966985000</v>
      </c>
      <c r="F30" s="110">
        <f t="shared" si="0"/>
        <v>1.8321418780078793</v>
      </c>
      <c r="H30" s="13"/>
    </row>
    <row r="31" spans="1:10" ht="15.75">
      <c r="A31" s="108" t="str">
        <f>+'S&amp;D'!A31</f>
        <v>Evergy Inc</v>
      </c>
      <c r="B31" s="91" t="str">
        <f>+'S&amp;D'!B31</f>
        <v>EVRG</v>
      </c>
      <c r="C31" s="92" t="str">
        <f>+'S&amp;D'!C31</f>
        <v>Electric Utility - Cent</v>
      </c>
      <c r="D31" s="278">
        <f>+'S&amp;D'!D56</f>
        <v>14445336387.65</v>
      </c>
      <c r="E31" s="280">
        <v>9483700000</v>
      </c>
      <c r="F31" s="110">
        <f t="shared" si="0"/>
        <v>1.5231751729441041</v>
      </c>
      <c r="H31" s="13"/>
    </row>
    <row r="32" spans="1:10" ht="15.75">
      <c r="A32" s="108" t="str">
        <f>+'S&amp;D'!A32</f>
        <v>FirstEnergy Corp</v>
      </c>
      <c r="B32" s="91" t="str">
        <f>+'S&amp;D'!B32</f>
        <v>FE</v>
      </c>
      <c r="C32" s="92" t="str">
        <f>+'S&amp;D'!C32</f>
        <v>Electric Utility - East</v>
      </c>
      <c r="D32" s="278">
        <f>+'S&amp;D'!D57</f>
        <v>23995171288.079998</v>
      </c>
      <c r="E32" s="280">
        <v>10166000000</v>
      </c>
      <c r="F32" s="110">
        <f t="shared" si="0"/>
        <v>2.3603355585362973</v>
      </c>
      <c r="H32" s="13"/>
    </row>
    <row r="33" spans="1:8" ht="15.75">
      <c r="A33" s="108" t="str">
        <f>+'S&amp;D'!A33</f>
        <v>OGE Energy Corp.</v>
      </c>
      <c r="B33" s="91" t="str">
        <f>+'S&amp;D'!B33</f>
        <v>OGE</v>
      </c>
      <c r="C33" s="92" t="str">
        <f>+'S&amp;D'!C33</f>
        <v>Electric Utility - Cent</v>
      </c>
      <c r="D33" s="278">
        <f>+'S&amp;D'!D58</f>
        <v>7917909999.999999</v>
      </c>
      <c r="E33" s="280">
        <v>4413400000</v>
      </c>
      <c r="F33" s="110">
        <f t="shared" si="0"/>
        <v>1.7940612679566772</v>
      </c>
      <c r="H33" s="13"/>
    </row>
    <row r="34" spans="1:8" ht="15.75">
      <c r="A34" s="108" t="str">
        <f>+'S&amp;D'!A34</f>
        <v>Otter Tail Corp</v>
      </c>
      <c r="B34" s="91" t="str">
        <f>+'S&amp;D'!B34</f>
        <v>OTTR</v>
      </c>
      <c r="C34" s="92" t="str">
        <f>+'S&amp;D'!C34</f>
        <v>Electric Utility - Cent</v>
      </c>
      <c r="D34" s="278">
        <f>+'S&amp;D'!D59</f>
        <v>2444162644.23</v>
      </c>
      <c r="E34" s="280">
        <v>1217317000</v>
      </c>
      <c r="F34" s="110">
        <f t="shared" si="0"/>
        <v>2.0078275783793376</v>
      </c>
      <c r="H34" s="13"/>
    </row>
    <row r="35" spans="1:8" ht="15.75">
      <c r="A35" s="108" t="str">
        <f>+'S&amp;D'!A35</f>
        <v>PPL Corporation</v>
      </c>
      <c r="B35" s="91" t="str">
        <f>+'S&amp;D'!B35</f>
        <v>PPL</v>
      </c>
      <c r="C35" s="92" t="str">
        <f>+'S&amp;D'!C35</f>
        <v>Electric Utility - East</v>
      </c>
      <c r="D35" s="278">
        <f>+'S&amp;D'!D60</f>
        <v>21520150140</v>
      </c>
      <c r="E35" s="280">
        <v>13918000000</v>
      </c>
      <c r="F35" s="110">
        <f t="shared" si="0"/>
        <v>1.5462099540163816</v>
      </c>
      <c r="H35" s="13"/>
    </row>
    <row r="36" spans="1:8" ht="15.75">
      <c r="A36" s="108" t="str">
        <f>+'S&amp;D'!A36</f>
        <v>The Southern Company</v>
      </c>
      <c r="B36" s="91" t="str">
        <f>+'S&amp;D'!B36</f>
        <v>SO</v>
      </c>
      <c r="C36" s="92" t="str">
        <f>+'S&amp;D'!C36</f>
        <v>Electric Utility - East</v>
      </c>
      <c r="D36" s="278">
        <f>+'S&amp;D'!D61</f>
        <v>78479590000</v>
      </c>
      <c r="E36" s="280">
        <v>30408000000</v>
      </c>
      <c r="F36" s="110">
        <f t="shared" si="0"/>
        <v>2.580886279926335</v>
      </c>
      <c r="H36" s="13"/>
    </row>
    <row r="37" spans="1:8" ht="16.5" thickBot="1">
      <c r="A37" s="112" t="str">
        <f>+'S&amp;D'!A37</f>
        <v>WEC Energy Group</v>
      </c>
      <c r="B37" s="100" t="str">
        <f>+'S&amp;D'!B37</f>
        <v>WEC</v>
      </c>
      <c r="C37" s="101" t="str">
        <f>+'S&amp;D'!C37</f>
        <v>Electric Utility - Cent</v>
      </c>
      <c r="D37" s="279">
        <f>+'S&amp;D'!D62</f>
        <v>29575141626.560001</v>
      </c>
      <c r="E37" s="333">
        <v>11376900000</v>
      </c>
      <c r="F37" s="113">
        <f t="shared" si="0"/>
        <v>2.5995782354208967</v>
      </c>
      <c r="H37" s="13"/>
    </row>
    <row r="38" spans="1:8" ht="27" customHeight="1" thickBot="1">
      <c r="A38" s="115"/>
      <c r="B38" s="115"/>
      <c r="C38" s="115"/>
      <c r="D38" s="115"/>
      <c r="E38" s="293" t="s">
        <v>354</v>
      </c>
      <c r="F38" s="294">
        <f>AVERAGE(F22:F37)</f>
        <v>2.0428828001261512</v>
      </c>
      <c r="H38" s="13"/>
    </row>
    <row r="39" spans="1:8" ht="15.75">
      <c r="A39" s="115"/>
      <c r="B39" s="115"/>
      <c r="C39" s="115"/>
      <c r="D39" s="115"/>
      <c r="E39" s="273"/>
      <c r="F39" s="274"/>
      <c r="H39" s="13"/>
    </row>
    <row r="40" spans="1:8" ht="15.75">
      <c r="A40" s="115"/>
      <c r="B40" s="115"/>
      <c r="C40" s="115"/>
      <c r="D40" s="115"/>
      <c r="E40" s="273"/>
      <c r="F40" s="274"/>
      <c r="H40" s="13"/>
    </row>
    <row r="41" spans="1:8" ht="15.75">
      <c r="A41" s="115"/>
      <c r="B41" s="115"/>
      <c r="C41" s="115"/>
      <c r="D41" s="115"/>
      <c r="E41" s="273"/>
      <c r="F41" s="274"/>
      <c r="H41" s="13"/>
    </row>
    <row r="42" spans="1:8" ht="16.5" thickBot="1">
      <c r="A42" s="115"/>
      <c r="B42" s="115"/>
      <c r="C42" s="115"/>
      <c r="D42" s="115"/>
      <c r="E42" s="115"/>
      <c r="F42" s="115"/>
      <c r="H42" s="13"/>
    </row>
    <row r="43" spans="1:8" ht="15.75">
      <c r="A43" s="275"/>
      <c r="B43" s="276"/>
      <c r="C43" s="277"/>
      <c r="D43" s="261" t="s">
        <v>0</v>
      </c>
      <c r="E43" s="262" t="s">
        <v>0</v>
      </c>
      <c r="F43" s="261" t="s">
        <v>0</v>
      </c>
      <c r="H43" s="13"/>
    </row>
    <row r="44" spans="1:8" ht="15.75">
      <c r="A44" s="91" t="s">
        <v>0</v>
      </c>
      <c r="B44" s="92" t="s">
        <v>3</v>
      </c>
      <c r="C44" s="93" t="s">
        <v>5</v>
      </c>
      <c r="D44" s="94" t="s">
        <v>345</v>
      </c>
      <c r="E44" s="263" t="s">
        <v>95</v>
      </c>
      <c r="F44" s="94" t="s">
        <v>347</v>
      </c>
      <c r="H44" s="13"/>
    </row>
    <row r="45" spans="1:8" ht="15.75">
      <c r="A45" s="91"/>
      <c r="B45" s="92" t="s">
        <v>4</v>
      </c>
      <c r="C45" s="93" t="s">
        <v>6</v>
      </c>
      <c r="D45" s="94" t="s">
        <v>348</v>
      </c>
      <c r="E45" s="263" t="s">
        <v>348</v>
      </c>
      <c r="F45" s="94" t="s">
        <v>167</v>
      </c>
    </row>
    <row r="46" spans="1:8" ht="16.5" thickBot="1">
      <c r="A46" s="100" t="s">
        <v>2</v>
      </c>
      <c r="B46" s="101" t="s">
        <v>0</v>
      </c>
      <c r="C46" s="102" t="s">
        <v>0</v>
      </c>
      <c r="D46" s="101" t="s">
        <v>0</v>
      </c>
      <c r="E46" s="125" t="s">
        <v>0</v>
      </c>
      <c r="F46" s="101" t="s">
        <v>0</v>
      </c>
    </row>
    <row r="47" spans="1:8">
      <c r="A47" s="105" t="s">
        <v>7</v>
      </c>
      <c r="B47" s="106" t="s">
        <v>7</v>
      </c>
      <c r="C47" s="44" t="s">
        <v>7</v>
      </c>
      <c r="D47" s="297" t="s">
        <v>346</v>
      </c>
      <c r="E47" s="126" t="s">
        <v>346</v>
      </c>
      <c r="F47" s="106"/>
    </row>
    <row r="48" spans="1:8" ht="15.75">
      <c r="A48" s="91"/>
      <c r="B48" s="92"/>
      <c r="C48" s="93"/>
      <c r="D48" s="92"/>
      <c r="E48" s="264"/>
      <c r="F48" s="92"/>
    </row>
    <row r="49" spans="1:6" ht="15.75">
      <c r="A49" s="108" t="str">
        <f>+'S&amp;D'!A22</f>
        <v>ALLETE Inc</v>
      </c>
      <c r="B49" s="91" t="str">
        <f>+'S&amp;D'!B22</f>
        <v>ALE</v>
      </c>
      <c r="C49" s="91" t="str">
        <f>+'S&amp;D'!C22</f>
        <v>Electric Utility - Cent</v>
      </c>
      <c r="D49" s="278">
        <f>+'S&amp;D'!G47</f>
        <v>1775029889.5858173</v>
      </c>
      <c r="E49" s="280">
        <f>+'S&amp;D'!J22</f>
        <v>1920800000</v>
      </c>
      <c r="F49" s="110">
        <f>+D49/E49</f>
        <v>0.92410968845575658</v>
      </c>
    </row>
    <row r="50" spans="1:6" ht="15.75">
      <c r="A50" s="108" t="str">
        <f>+'S&amp;D'!A23</f>
        <v>Alliant Energy</v>
      </c>
      <c r="B50" s="91" t="str">
        <f>+'S&amp;D'!B23</f>
        <v>LNT</v>
      </c>
      <c r="C50" s="91" t="str">
        <f>+'S&amp;D'!C23</f>
        <v>Electric Utility - Cent</v>
      </c>
      <c r="D50" s="278">
        <f>+'S&amp;D'!G48</f>
        <v>7368000000</v>
      </c>
      <c r="E50" s="280">
        <f>+'S&amp;D'!J23</f>
        <v>8076000000</v>
      </c>
      <c r="F50" s="110">
        <f t="shared" ref="F50:F64" si="1">+D50/E50</f>
        <v>0.91233283803863297</v>
      </c>
    </row>
    <row r="51" spans="1:6" ht="15.75">
      <c r="A51" s="108" t="str">
        <f>+'S&amp;D'!A24</f>
        <v>AMEREN Corporation</v>
      </c>
      <c r="B51" s="91" t="str">
        <f>+'S&amp;D'!B24</f>
        <v>AEE</v>
      </c>
      <c r="C51" s="91" t="str">
        <f>+'S&amp;D'!C24</f>
        <v>Electric Utility - Cent</v>
      </c>
      <c r="D51" s="278">
        <f>+'S&amp;D'!G49</f>
        <v>12453000000</v>
      </c>
      <c r="E51" s="280">
        <f>+'S&amp;D'!J24</f>
        <v>14025000000</v>
      </c>
      <c r="F51" s="110">
        <f t="shared" si="1"/>
        <v>0.88791443850267382</v>
      </c>
    </row>
    <row r="52" spans="1:6" ht="15.75">
      <c r="A52" s="108" t="str">
        <f>+'S&amp;D'!A25</f>
        <v>American Electric Power</v>
      </c>
      <c r="B52" s="91" t="str">
        <f>+'S&amp;D'!B25</f>
        <v>AEP</v>
      </c>
      <c r="C52" s="91" t="str">
        <f>+'S&amp;D'!C25</f>
        <v>Electric Utility - Cent</v>
      </c>
      <c r="D52" s="278">
        <f>+'S&amp;D'!G50</f>
        <v>31767100000</v>
      </c>
      <c r="E52" s="280">
        <f>+'S&amp;D'!J25</f>
        <v>35622600000</v>
      </c>
      <c r="F52" s="110">
        <f t="shared" si="1"/>
        <v>0.89176814718745967</v>
      </c>
    </row>
    <row r="53" spans="1:6" ht="15.75">
      <c r="A53" s="108" t="str">
        <f>+'S&amp;D'!A26</f>
        <v>Centerpoint Energy</v>
      </c>
      <c r="B53" s="91" t="str">
        <f>+'S&amp;D'!B26</f>
        <v>CNP</v>
      </c>
      <c r="C53" s="91" t="str">
        <f>+'S&amp;D'!C26</f>
        <v>Electric Utility - Cent</v>
      </c>
      <c r="D53" s="278">
        <f>+'S&amp;D'!G51</f>
        <v>14990000000</v>
      </c>
      <c r="E53" s="280">
        <f>+'S&amp;D'!J26</f>
        <v>16338000000</v>
      </c>
      <c r="F53" s="110">
        <f t="shared" si="1"/>
        <v>0.91749296119476065</v>
      </c>
    </row>
    <row r="54" spans="1:6" ht="15.75">
      <c r="A54" s="108" t="str">
        <f>+'S&amp;D'!A27</f>
        <v>CMS Energy</v>
      </c>
      <c r="B54" s="91" t="str">
        <f>+'S&amp;D'!B27</f>
        <v>CMS</v>
      </c>
      <c r="C54" s="91" t="str">
        <f>+'S&amp;D'!C27</f>
        <v>Electric Utility - Cent</v>
      </c>
      <c r="D54" s="278">
        <f>+'S&amp;D'!G52</f>
        <v>12451095975.232199</v>
      </c>
      <c r="E54" s="280">
        <f>+'S&amp;D'!J27</f>
        <v>14289000000</v>
      </c>
      <c r="F54" s="110">
        <f t="shared" si="1"/>
        <v>0.87137630171685898</v>
      </c>
    </row>
    <row r="55" spans="1:6" ht="15.75">
      <c r="A55" s="108" t="str">
        <f>+'S&amp;D'!A28</f>
        <v>DTE Energy</v>
      </c>
      <c r="B55" s="91" t="str">
        <f>+'S&amp;D'!B28</f>
        <v>DTE</v>
      </c>
      <c r="C55" s="91" t="str">
        <f>+'S&amp;D'!C28</f>
        <v>Electric Utility - Cent</v>
      </c>
      <c r="D55" s="278">
        <f>+'S&amp;D'!G53</f>
        <v>17273235899.43264</v>
      </c>
      <c r="E55" s="280">
        <f>+'S&amp;D'!J28</f>
        <v>17997000000</v>
      </c>
      <c r="F55" s="110">
        <f t="shared" si="1"/>
        <v>0.9597841806652575</v>
      </c>
    </row>
    <row r="56" spans="1:6" ht="15.75">
      <c r="A56" s="108" t="str">
        <f>+'S&amp;D'!A29</f>
        <v>Duke Energy</v>
      </c>
      <c r="B56" s="91" t="str">
        <f>+'S&amp;D'!B29</f>
        <v>DUK</v>
      </c>
      <c r="C56" s="91" t="str">
        <f>+'S&amp;D'!C29</f>
        <v>Electric Utility - East</v>
      </c>
      <c r="D56" s="278">
        <f>+'S&amp;D'!G54</f>
        <v>63454000000</v>
      </c>
      <c r="E56" s="280">
        <f>+'S&amp;D'!J29</f>
        <v>71215000000</v>
      </c>
      <c r="F56" s="110">
        <f t="shared" si="1"/>
        <v>0.89102015024924519</v>
      </c>
    </row>
    <row r="57" spans="1:6" ht="15.75">
      <c r="A57" s="108" t="str">
        <f>+'S&amp;D'!A30</f>
        <v>Entergy Corp</v>
      </c>
      <c r="B57" s="91" t="str">
        <f>+'S&amp;D'!B30</f>
        <v>ETR</v>
      </c>
      <c r="C57" s="91" t="str">
        <f>+'S&amp;D'!C30</f>
        <v>Electric Utility - Cent</v>
      </c>
      <c r="D57" s="278">
        <f>+'S&amp;D'!G55</f>
        <v>24780275435.782497</v>
      </c>
      <c r="E57" s="280">
        <f>+'S&amp;D'!J30</f>
        <v>25932549000</v>
      </c>
      <c r="F57" s="110">
        <f t="shared" si="1"/>
        <v>0.95556651356496025</v>
      </c>
    </row>
    <row r="58" spans="1:6" ht="15.75">
      <c r="A58" s="108" t="str">
        <f>+'S&amp;D'!A31</f>
        <v>Evergy Inc</v>
      </c>
      <c r="B58" s="91" t="str">
        <f>+'S&amp;D'!B31</f>
        <v>EVRG</v>
      </c>
      <c r="C58" s="91" t="str">
        <f>+'S&amp;D'!C31</f>
        <v>Electric Utility - Cent</v>
      </c>
      <c r="D58" s="278">
        <f>+'S&amp;D'!G56</f>
        <v>9160000000.0000019</v>
      </c>
      <c r="E58" s="280">
        <f>+'S&amp;D'!J31</f>
        <v>10344800000</v>
      </c>
      <c r="F58" s="110">
        <f t="shared" si="1"/>
        <v>0.885469027917408</v>
      </c>
    </row>
    <row r="59" spans="1:6" ht="15.75">
      <c r="A59" s="108" t="str">
        <f>+'S&amp;D'!A32</f>
        <v>FirstEnergy Corp</v>
      </c>
      <c r="B59" s="91" t="str">
        <f>+'S&amp;D'!B32</f>
        <v>FE</v>
      </c>
      <c r="C59" s="91" t="str">
        <f>+'S&amp;D'!C32</f>
        <v>Electric Utility - East</v>
      </c>
      <c r="D59" s="278">
        <f>+'S&amp;D'!G57</f>
        <v>19704465412.873714</v>
      </c>
      <c r="E59" s="280">
        <f>+'S&amp;D'!J32</f>
        <v>21554000000</v>
      </c>
      <c r="F59" s="110">
        <f t="shared" si="1"/>
        <v>0.9141906566240009</v>
      </c>
    </row>
    <row r="60" spans="1:6" ht="15.75">
      <c r="A60" s="108" t="str">
        <f>+'S&amp;D'!A33</f>
        <v>OGE Energy Corp.</v>
      </c>
      <c r="B60" s="91" t="str">
        <f>+'S&amp;D'!B33</f>
        <v>OGE</v>
      </c>
      <c r="C60" s="91" t="str">
        <f>+'S&amp;D'!C33</f>
        <v>Electric Utility - Cent</v>
      </c>
      <c r="D60" s="278">
        <f>+'S&amp;D'!G58</f>
        <v>4161000000.0000005</v>
      </c>
      <c r="E60" s="280">
        <f>+'S&amp;D'!J33</f>
        <v>4548600000</v>
      </c>
      <c r="F60" s="110">
        <f t="shared" si="1"/>
        <v>0.91478696741854648</v>
      </c>
    </row>
    <row r="61" spans="1:6" ht="15.75">
      <c r="A61" s="108" t="str">
        <f>+'S&amp;D'!A34</f>
        <v>Otter Tail Corp</v>
      </c>
      <c r="B61" s="91" t="str">
        <f>+'S&amp;D'!B34</f>
        <v>OTTR</v>
      </c>
      <c r="C61" s="91" t="str">
        <f>+'S&amp;D'!C34</f>
        <v>Electric Utility - Cent</v>
      </c>
      <c r="D61" s="278">
        <f>+'S&amp;D'!G59</f>
        <v>689819000</v>
      </c>
      <c r="E61" s="280">
        <f>+'S&amp;D'!J34</f>
        <v>823821000</v>
      </c>
      <c r="F61" s="110">
        <f t="shared" si="1"/>
        <v>0.83734087866174811</v>
      </c>
    </row>
    <row r="62" spans="1:6" ht="15.75">
      <c r="A62" s="108" t="str">
        <f>+'S&amp;D'!A35</f>
        <v>PPL Corporation</v>
      </c>
      <c r="B62" s="91" t="str">
        <f>+'S&amp;D'!B35</f>
        <v>PPL</v>
      </c>
      <c r="C62" s="91" t="str">
        <f>+'S&amp;D'!C35</f>
        <v>Electric Utility - East</v>
      </c>
      <c r="D62" s="278">
        <f>+'S&amp;D'!G60</f>
        <v>12239000000</v>
      </c>
      <c r="E62" s="280">
        <f>+'S&amp;D'!J35</f>
        <v>13243000000</v>
      </c>
      <c r="F62" s="110">
        <f t="shared" si="1"/>
        <v>0.92418636260666009</v>
      </c>
    </row>
    <row r="63" spans="1:6" ht="15.75">
      <c r="A63" s="108" t="str">
        <f>+'S&amp;D'!A36</f>
        <v>The Southern Company</v>
      </c>
      <c r="B63" s="91" t="str">
        <f>+'S&amp;D'!B36</f>
        <v>SO</v>
      </c>
      <c r="C63" s="91" t="str">
        <f>+'S&amp;D'!C36</f>
        <v>Electric Utility - East</v>
      </c>
      <c r="D63" s="278">
        <f>+'S&amp;D'!G61</f>
        <v>48903527472.527473</v>
      </c>
      <c r="E63" s="280">
        <f>+'S&amp;D'!J36</f>
        <v>54941000000</v>
      </c>
      <c r="F63" s="110">
        <f t="shared" si="1"/>
        <v>0.89010989010989017</v>
      </c>
    </row>
    <row r="64" spans="1:6" ht="16.5" thickBot="1">
      <c r="A64" s="112" t="str">
        <f>+'S&amp;D'!A37</f>
        <v>WEC Energy Group</v>
      </c>
      <c r="B64" s="100" t="str">
        <f>+'S&amp;D'!B37</f>
        <v>WEC</v>
      </c>
      <c r="C64" s="100" t="str">
        <f>+'S&amp;D'!C37</f>
        <v>Electric Utility - Cent</v>
      </c>
      <c r="D64" s="279">
        <f>+'S&amp;D'!G62</f>
        <v>14104500000</v>
      </c>
      <c r="E64" s="280">
        <f>+'S&amp;D'!J37</f>
        <v>15647400000</v>
      </c>
      <c r="F64" s="113">
        <f t="shared" si="1"/>
        <v>0.90139575903984048</v>
      </c>
    </row>
    <row r="65" spans="1:6" ht="27.75" customHeight="1" thickBot="1">
      <c r="E65" s="293" t="s">
        <v>354</v>
      </c>
      <c r="F65" s="294">
        <f>AVERAGE(F49:F64)</f>
        <v>0.90492779762210629</v>
      </c>
    </row>
    <row r="70" spans="1:6">
      <c r="C70" s="265" t="s">
        <v>349</v>
      </c>
      <c r="D70" s="265" t="s">
        <v>350</v>
      </c>
      <c r="E70" s="265"/>
    </row>
    <row r="71" spans="1:6">
      <c r="A71" s="267"/>
      <c r="B71" s="267"/>
      <c r="C71" s="266" t="s">
        <v>36</v>
      </c>
      <c r="D71" s="266" t="s">
        <v>351</v>
      </c>
      <c r="E71" s="266" t="s">
        <v>352</v>
      </c>
    </row>
    <row r="72" spans="1:6" ht="15.75">
      <c r="A72" s="93" t="s">
        <v>40</v>
      </c>
      <c r="B72" s="153" t="s">
        <v>0</v>
      </c>
      <c r="C72" s="153">
        <f>+'Yield CapRate'!C23</f>
        <v>0.62</v>
      </c>
      <c r="D72" s="271">
        <f>+F38</f>
        <v>2.0428828001261512</v>
      </c>
      <c r="E72" s="272">
        <f>+C72*D72</f>
        <v>1.2665873360782138</v>
      </c>
      <c r="F72" s="154" t="s">
        <v>0</v>
      </c>
    </row>
    <row r="73" spans="1:6" ht="15.75">
      <c r="A73" s="268" t="s">
        <v>42</v>
      </c>
      <c r="B73" s="269" t="str">
        <f>'S&amp;D'!I44</f>
        <v xml:space="preserve"> </v>
      </c>
      <c r="C73" s="269">
        <f>+'Yield CapRate'!C25</f>
        <v>0.38</v>
      </c>
      <c r="D73" s="270">
        <f>+F65</f>
        <v>0.90492779762210629</v>
      </c>
      <c r="E73" s="270">
        <f>+C73*D73</f>
        <v>0.34387256309640041</v>
      </c>
      <c r="F73" s="154" t="s">
        <v>0</v>
      </c>
    </row>
    <row r="74" spans="1:6" ht="15.75">
      <c r="D74" s="132" t="s">
        <v>353</v>
      </c>
      <c r="E74" s="295">
        <f>+E72+E73</f>
        <v>1.6104598991746142</v>
      </c>
    </row>
    <row r="77" spans="1:6" ht="18">
      <c r="A77" s="32" t="s">
        <v>467</v>
      </c>
    </row>
    <row r="78" spans="1:6" ht="18">
      <c r="A78" s="32" t="s">
        <v>429</v>
      </c>
    </row>
  </sheetData>
  <pageMargins left="0.25" right="0.25" top="0.75" bottom="0.75" header="0.3" footer="0.3"/>
  <pageSetup scale="40" orientation="landscape" r:id="rId1"/>
  <rowBreaks count="1" manualBreakCount="1">
    <brk id="42"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85"/>
  <sheetViews>
    <sheetView view="pageBreakPreview" zoomScale="70" zoomScaleNormal="80" zoomScaleSheetLayoutView="70" workbookViewId="0">
      <selection activeCell="H41" sqref="H41"/>
    </sheetView>
  </sheetViews>
  <sheetFormatPr defaultRowHeight="15"/>
  <cols>
    <col min="1" max="1" width="45.140625" customWidth="1"/>
    <col min="2" max="2" width="15.7109375" customWidth="1"/>
    <col min="3" max="3" width="10.7109375" customWidth="1"/>
    <col min="4" max="4" width="21.710937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5" t="s">
        <v>1</v>
      </c>
      <c r="B1" s="13"/>
      <c r="C1" s="13"/>
      <c r="D1" s="13"/>
      <c r="E1" s="13"/>
      <c r="F1" s="13"/>
      <c r="G1" s="13"/>
      <c r="H1" s="13"/>
      <c r="I1" s="13"/>
      <c r="J1" s="13"/>
      <c r="K1" s="13"/>
      <c r="L1" s="13"/>
    </row>
    <row r="2" spans="1:12" ht="15.75">
      <c r="A2" s="26" t="s">
        <v>9</v>
      </c>
      <c r="B2" s="13"/>
      <c r="C2" s="13"/>
      <c r="D2" s="13"/>
      <c r="E2" s="13"/>
      <c r="F2" s="13"/>
      <c r="G2" s="13"/>
      <c r="H2" s="13"/>
      <c r="I2" s="13"/>
      <c r="J2" s="13"/>
      <c r="K2" s="13"/>
      <c r="L2" s="13"/>
    </row>
    <row r="3" spans="1:12">
      <c r="A3" s="27" t="s">
        <v>97</v>
      </c>
      <c r="B3" s="13"/>
      <c r="C3" s="13"/>
      <c r="D3" s="13"/>
      <c r="E3" s="13"/>
      <c r="F3" s="13"/>
      <c r="G3" s="13"/>
      <c r="H3" s="13"/>
      <c r="I3" s="13"/>
      <c r="J3" s="13"/>
      <c r="K3" s="13"/>
      <c r="L3" s="13"/>
    </row>
    <row r="4" spans="1:12">
      <c r="A4" s="27"/>
      <c r="B4" s="13"/>
      <c r="C4" s="13"/>
      <c r="D4" s="13"/>
      <c r="E4" s="13"/>
      <c r="F4" s="13"/>
      <c r="G4" s="13"/>
      <c r="H4" s="13"/>
      <c r="I4" s="13"/>
      <c r="J4" s="13"/>
      <c r="K4" s="13"/>
      <c r="L4" s="13"/>
    </row>
    <row r="5" spans="1:12">
      <c r="A5" s="27"/>
      <c r="B5" s="13"/>
      <c r="C5" s="13"/>
      <c r="D5" s="13"/>
      <c r="E5" s="13"/>
      <c r="F5" s="13"/>
      <c r="G5" s="13"/>
      <c r="H5" s="13"/>
      <c r="I5" s="13"/>
      <c r="J5" s="13"/>
      <c r="K5" s="13"/>
      <c r="L5" s="13"/>
    </row>
    <row r="6" spans="1:12">
      <c r="A6" s="27"/>
      <c r="B6" s="13"/>
      <c r="C6" s="13"/>
      <c r="D6" s="13"/>
      <c r="E6" s="13"/>
      <c r="F6" s="13"/>
      <c r="G6" s="13"/>
      <c r="H6" s="13"/>
      <c r="I6" s="13"/>
      <c r="J6" s="13"/>
      <c r="K6" s="13"/>
      <c r="L6" s="13"/>
    </row>
    <row r="7" spans="1:12" ht="15.75" thickBot="1">
      <c r="A7" s="13"/>
      <c r="B7" s="13"/>
      <c r="C7" s="13"/>
      <c r="D7" s="13"/>
      <c r="E7" s="13"/>
      <c r="F7" s="30"/>
      <c r="G7" s="30"/>
      <c r="H7" s="31" t="s">
        <v>0</v>
      </c>
      <c r="I7" s="13"/>
      <c r="J7" s="13"/>
      <c r="K7" s="13"/>
      <c r="L7" s="13"/>
    </row>
    <row r="8" spans="1:12" ht="21" thickBot="1">
      <c r="A8" s="287" t="str">
        <f>+'S&amp;D'!A12</f>
        <v>Electric Utilities</v>
      </c>
      <c r="B8" s="288"/>
      <c r="C8" s="215"/>
      <c r="D8" s="13"/>
      <c r="E8" s="13"/>
      <c r="F8" s="13"/>
      <c r="G8" s="33" t="s">
        <v>113</v>
      </c>
      <c r="H8" s="13"/>
      <c r="I8" s="13"/>
      <c r="J8" s="13"/>
      <c r="K8" s="13"/>
      <c r="L8" s="13"/>
    </row>
    <row r="9" spans="1:12" ht="18">
      <c r="A9" s="32"/>
      <c r="B9" s="13"/>
      <c r="C9" s="13"/>
      <c r="D9" s="13"/>
      <c r="E9" s="13"/>
      <c r="F9" s="13"/>
      <c r="G9" s="93" t="s">
        <v>114</v>
      </c>
      <c r="H9" s="13"/>
      <c r="I9" s="13"/>
      <c r="J9" s="13"/>
      <c r="K9" s="13"/>
      <c r="L9" s="13"/>
    </row>
    <row r="10" spans="1:12" ht="18" customHeight="1" thickBot="1">
      <c r="A10" s="42" t="s">
        <v>0</v>
      </c>
      <c r="B10" s="42" t="s">
        <v>0</v>
      </c>
      <c r="C10" s="42" t="s">
        <v>0</v>
      </c>
      <c r="D10" s="13"/>
      <c r="E10" s="13"/>
      <c r="F10" s="35" t="s">
        <v>0</v>
      </c>
      <c r="G10" s="38" t="s">
        <v>111</v>
      </c>
      <c r="H10" s="35" t="s">
        <v>0</v>
      </c>
      <c r="I10" s="42" t="s">
        <v>0</v>
      </c>
      <c r="J10" s="13"/>
      <c r="K10" s="13"/>
      <c r="L10" s="13"/>
    </row>
    <row r="11" spans="1:12" ht="18" customHeight="1">
      <c r="A11" s="42"/>
      <c r="B11" s="42"/>
      <c r="C11" s="42"/>
      <c r="D11" s="13"/>
      <c r="E11" s="13"/>
      <c r="J11" s="13"/>
      <c r="K11" s="13"/>
      <c r="L11" s="13"/>
    </row>
    <row r="12" spans="1:12" ht="18" customHeight="1">
      <c r="A12" s="42"/>
      <c r="B12" s="42"/>
      <c r="C12" s="42"/>
      <c r="D12" s="13"/>
      <c r="E12" s="13"/>
      <c r="G12" s="14" t="s">
        <v>0</v>
      </c>
      <c r="J12" s="13"/>
      <c r="K12" s="13"/>
      <c r="L12" s="13"/>
    </row>
    <row r="13" spans="1:12" ht="15.75" thickBot="1">
      <c r="A13" s="35"/>
      <c r="B13" s="35"/>
      <c r="C13" s="35"/>
      <c r="D13" s="35"/>
      <c r="E13" s="38"/>
      <c r="F13" s="35"/>
      <c r="G13" s="35"/>
      <c r="H13" s="35"/>
      <c r="I13" s="35"/>
      <c r="J13" s="30"/>
      <c r="K13" s="30"/>
      <c r="L13" s="30"/>
    </row>
    <row r="14" spans="1:12" ht="15" customHeight="1" thickBot="1">
      <c r="A14" s="35" t="s">
        <v>24</v>
      </c>
      <c r="B14" s="35" t="s">
        <v>126</v>
      </c>
      <c r="C14" s="35" t="s">
        <v>127</v>
      </c>
      <c r="D14" s="43" t="s">
        <v>128</v>
      </c>
      <c r="E14" s="35" t="s">
        <v>129</v>
      </c>
      <c r="F14" s="35" t="s">
        <v>130</v>
      </c>
      <c r="G14" s="35" t="s">
        <v>131</v>
      </c>
      <c r="H14" s="35" t="s">
        <v>132</v>
      </c>
      <c r="I14" s="35" t="s">
        <v>133</v>
      </c>
      <c r="J14" s="35" t="s">
        <v>134</v>
      </c>
      <c r="K14" s="35" t="s">
        <v>135</v>
      </c>
      <c r="L14" s="35" t="s">
        <v>143</v>
      </c>
    </row>
    <row r="15" spans="1:12">
      <c r="A15" s="36" t="s">
        <v>0</v>
      </c>
      <c r="B15" s="36" t="s">
        <v>3</v>
      </c>
      <c r="C15" s="36" t="s">
        <v>115</v>
      </c>
      <c r="D15" s="36" t="s">
        <v>118</v>
      </c>
      <c r="E15" s="36" t="s">
        <v>118</v>
      </c>
      <c r="F15" s="36" t="s">
        <v>119</v>
      </c>
      <c r="G15" s="36" t="s">
        <v>122</v>
      </c>
      <c r="H15" s="36" t="s">
        <v>124</v>
      </c>
      <c r="I15" s="36" t="s">
        <v>146</v>
      </c>
      <c r="J15" s="36" t="s">
        <v>146</v>
      </c>
      <c r="K15" s="36" t="s">
        <v>139</v>
      </c>
      <c r="L15" s="36" t="s">
        <v>141</v>
      </c>
    </row>
    <row r="16" spans="1:12" ht="15.75" thickBot="1">
      <c r="A16" s="38" t="s">
        <v>2</v>
      </c>
      <c r="B16" s="38" t="s">
        <v>4</v>
      </c>
      <c r="C16" s="38" t="s">
        <v>116</v>
      </c>
      <c r="D16" s="38" t="s">
        <v>121</v>
      </c>
      <c r="E16" s="38" t="s">
        <v>120</v>
      </c>
      <c r="F16" s="38" t="s">
        <v>19</v>
      </c>
      <c r="G16" s="38" t="s">
        <v>123</v>
      </c>
      <c r="H16" s="38" t="s">
        <v>125</v>
      </c>
      <c r="I16" s="38" t="s">
        <v>0</v>
      </c>
      <c r="J16" s="38" t="s">
        <v>0</v>
      </c>
      <c r="K16" s="38" t="s">
        <v>140</v>
      </c>
      <c r="L16" s="38" t="s">
        <v>122</v>
      </c>
    </row>
    <row r="17" spans="1:12">
      <c r="A17" s="44" t="s">
        <v>7</v>
      </c>
      <c r="B17" s="44" t="s">
        <v>7</v>
      </c>
      <c r="C17" s="44" t="s">
        <v>117</v>
      </c>
      <c r="D17" s="44" t="s">
        <v>286</v>
      </c>
      <c r="E17" s="44" t="s">
        <v>286</v>
      </c>
      <c r="F17" s="44" t="s">
        <v>144</v>
      </c>
      <c r="G17" s="44" t="s">
        <v>285</v>
      </c>
      <c r="H17" s="44" t="s">
        <v>136</v>
      </c>
      <c r="I17" s="44" t="s">
        <v>137</v>
      </c>
      <c r="J17" s="44" t="s">
        <v>138</v>
      </c>
      <c r="K17" s="44" t="s">
        <v>145</v>
      </c>
      <c r="L17" s="44" t="s">
        <v>142</v>
      </c>
    </row>
    <row r="18" spans="1:12">
      <c r="A18" s="36"/>
      <c r="B18" s="36"/>
      <c r="C18" s="36"/>
      <c r="D18" s="36"/>
      <c r="E18" s="36"/>
      <c r="F18" s="36"/>
      <c r="G18" s="36"/>
      <c r="H18" s="36"/>
      <c r="I18" s="36"/>
      <c r="J18" s="36"/>
      <c r="K18" s="36"/>
      <c r="L18" s="36"/>
    </row>
    <row r="19" spans="1:12">
      <c r="A19" s="13"/>
      <c r="B19" s="13"/>
      <c r="C19" s="13"/>
      <c r="D19" s="13" t="s">
        <v>0</v>
      </c>
      <c r="E19" s="13" t="s">
        <v>0</v>
      </c>
      <c r="F19" s="13" t="s">
        <v>0</v>
      </c>
      <c r="G19" s="13" t="s">
        <v>0</v>
      </c>
      <c r="H19" s="13"/>
      <c r="I19" s="13"/>
      <c r="J19" s="13"/>
      <c r="K19" s="13"/>
      <c r="L19" s="13"/>
    </row>
    <row r="20" spans="1:12" ht="22.5" customHeight="1">
      <c r="A20" s="65" t="str">
        <f>+'S&amp;D'!A22</f>
        <v>ALLETE Inc</v>
      </c>
      <c r="B20" s="93" t="str">
        <f>+'S&amp;D'!B22</f>
        <v>ALE</v>
      </c>
      <c r="C20" s="68">
        <f>+'Growth &amp; Inflation Rates'!$D$93</f>
        <v>2.366E-2</v>
      </c>
      <c r="D20" s="332">
        <v>5198600000</v>
      </c>
      <c r="E20" s="149">
        <v>5028700000</v>
      </c>
      <c r="F20" s="149">
        <f>(D20+E20)/2</f>
        <v>5113650000</v>
      </c>
      <c r="G20" s="149">
        <v>242200000</v>
      </c>
      <c r="H20" s="19">
        <f>+F20/G20</f>
        <v>21.113336085879439</v>
      </c>
      <c r="I20" s="46">
        <f>+C20*H20</f>
        <v>0.49954153179190752</v>
      </c>
      <c r="J20" s="47">
        <f>1/(1+C20)^H20</f>
        <v>0.61034949344170064</v>
      </c>
      <c r="K20" s="368">
        <f>(G20*I20)/(1-J20)</f>
        <v>310506356.24388105</v>
      </c>
      <c r="L20" s="151">
        <f>+K20/G20</f>
        <v>1.282024592253844</v>
      </c>
    </row>
    <row r="21" spans="1:12" ht="22.5" customHeight="1">
      <c r="A21" s="65" t="str">
        <f>+'S&amp;D'!A23</f>
        <v>Alliant Energy</v>
      </c>
      <c r="B21" s="93" t="str">
        <f>+'S&amp;D'!B23</f>
        <v>LNT</v>
      </c>
      <c r="C21" s="68">
        <f>+'Growth &amp; Inflation Rates'!$D$93</f>
        <v>2.366E-2</v>
      </c>
      <c r="D21" s="332">
        <v>21987000000</v>
      </c>
      <c r="E21" s="149">
        <f>14987000000+5263000000</f>
        <v>20250000000</v>
      </c>
      <c r="F21" s="149">
        <f t="shared" ref="F21:F35" si="0">(D21+E21)/2</f>
        <v>21118500000</v>
      </c>
      <c r="G21" s="149">
        <v>671000000</v>
      </c>
      <c r="H21" s="19">
        <f>+F21/G21</f>
        <v>31.473174366616991</v>
      </c>
      <c r="I21" s="46">
        <f t="shared" ref="I21:I35" si="1">+C21*H21</f>
        <v>0.74465530551415804</v>
      </c>
      <c r="J21" s="47">
        <f t="shared" ref="J21:J35" si="2">1/(1+C21)^H21</f>
        <v>0.47903454512604687</v>
      </c>
      <c r="K21" s="150">
        <f t="shared" ref="K21:K35" si="3">(G21*I21)/(1-J21)</f>
        <v>959111022.2862916</v>
      </c>
      <c r="L21" s="151">
        <f t="shared" ref="L21:L35" si="4">+K21/G21</f>
        <v>1.4293755920809115</v>
      </c>
    </row>
    <row r="22" spans="1:12" ht="22.5" customHeight="1">
      <c r="A22" s="65" t="str">
        <f>+'S&amp;D'!A24</f>
        <v>AMEREN Corporation</v>
      </c>
      <c r="B22" s="93" t="str">
        <f>+'S&amp;D'!B24</f>
        <v>AEE</v>
      </c>
      <c r="C22" s="68">
        <f>+'Growth &amp; Inflation Rates'!$D$93</f>
        <v>2.366E-2</v>
      </c>
      <c r="D22" s="332">
        <f>31262000000+14465000000</f>
        <v>45727000000</v>
      </c>
      <c r="E22" s="149">
        <f>29261000000+14214000000</f>
        <v>43475000000</v>
      </c>
      <c r="F22" s="149">
        <f t="shared" si="0"/>
        <v>44601000000</v>
      </c>
      <c r="G22" s="149">
        <v>1289000000</v>
      </c>
      <c r="H22" s="19">
        <f>+F22/G22</f>
        <v>34.601241272304115</v>
      </c>
      <c r="I22" s="46">
        <f t="shared" si="1"/>
        <v>0.81866536850271543</v>
      </c>
      <c r="J22" s="47">
        <f t="shared" si="2"/>
        <v>0.44524496794726448</v>
      </c>
      <c r="K22" s="150">
        <f t="shared" si="3"/>
        <v>1902208360.4997141</v>
      </c>
      <c r="L22" s="151">
        <f t="shared" si="4"/>
        <v>1.4757240965862795</v>
      </c>
    </row>
    <row r="23" spans="1:12" ht="22.5" customHeight="1">
      <c r="A23" s="65" t="str">
        <f>+'S&amp;D'!A25</f>
        <v>American Electric Power</v>
      </c>
      <c r="B23" s="93" t="str">
        <f>+'S&amp;D'!B25</f>
        <v>AEP</v>
      </c>
      <c r="C23" s="68">
        <f>+'Growth &amp; Inflation Rates'!$D$93</f>
        <v>2.366E-2</v>
      </c>
      <c r="D23" s="332">
        <v>93794000000</v>
      </c>
      <c r="E23" s="149">
        <v>86806400000</v>
      </c>
      <c r="F23" s="149">
        <f t="shared" si="0"/>
        <v>90300200000</v>
      </c>
      <c r="G23" s="149">
        <v>3202800000</v>
      </c>
      <c r="H23" s="19">
        <f t="shared" ref="H23:H35" si="5">+F23/G23</f>
        <v>28.194142625202947</v>
      </c>
      <c r="I23" s="46">
        <f t="shared" si="1"/>
        <v>0.66707341451230173</v>
      </c>
      <c r="J23" s="47">
        <f t="shared" si="2"/>
        <v>0.51721106248435533</v>
      </c>
      <c r="K23" s="150">
        <f t="shared" si="3"/>
        <v>4425334894.7763891</v>
      </c>
      <c r="L23" s="151">
        <f t="shared" si="4"/>
        <v>1.3817081599776411</v>
      </c>
    </row>
    <row r="24" spans="1:12" ht="22.5" customHeight="1">
      <c r="A24" s="65" t="str">
        <f>+'S&amp;D'!A26</f>
        <v>Centerpoint Energy</v>
      </c>
      <c r="B24" s="93" t="str">
        <f>+'S&amp;D'!B26</f>
        <v>CNP</v>
      </c>
      <c r="C24" s="68">
        <f>+'Growth &amp; Inflation Rates'!$D$93</f>
        <v>2.366E-2</v>
      </c>
      <c r="D24" s="332">
        <v>37728000000</v>
      </c>
      <c r="E24" s="149">
        <v>33673000000</v>
      </c>
      <c r="F24" s="149">
        <f t="shared" si="0"/>
        <v>35700500000</v>
      </c>
      <c r="G24" s="149">
        <v>1288000000</v>
      </c>
      <c r="H24" s="19">
        <f t="shared" si="5"/>
        <v>27.717779503105589</v>
      </c>
      <c r="I24" s="46">
        <f t="shared" si="1"/>
        <v>0.65580266304347823</v>
      </c>
      <c r="J24" s="47">
        <f t="shared" si="2"/>
        <v>0.52300473669787517</v>
      </c>
      <c r="K24" s="150">
        <f t="shared" si="3"/>
        <v>1770822259.6436784</v>
      </c>
      <c r="L24" s="151">
        <f t="shared" si="4"/>
        <v>1.3748620028289429</v>
      </c>
    </row>
    <row r="25" spans="1:12" ht="22.5" customHeight="1">
      <c r="A25" s="65" t="str">
        <f>+'S&amp;D'!A27</f>
        <v>CMS Energy</v>
      </c>
      <c r="B25" s="93" t="str">
        <f>+'S&amp;D'!B27</f>
        <v>CMS</v>
      </c>
      <c r="C25" s="68">
        <f>+'Growth &amp; Inflation Rates'!$D$93</f>
        <v>2.366E-2</v>
      </c>
      <c r="D25" s="332">
        <f>30491000000+1182000000</f>
        <v>31673000000</v>
      </c>
      <c r="E25" s="149">
        <f>29893000000+961000000</f>
        <v>30854000000</v>
      </c>
      <c r="F25" s="149">
        <f t="shared" si="0"/>
        <v>31263500000</v>
      </c>
      <c r="G25" s="149">
        <v>1126000000</v>
      </c>
      <c r="H25" s="19">
        <f t="shared" si="5"/>
        <v>27.765097690941385</v>
      </c>
      <c r="I25" s="46">
        <f t="shared" si="1"/>
        <v>0.65692221136767315</v>
      </c>
      <c r="J25" s="47">
        <f t="shared" si="2"/>
        <v>0.52242634713001879</v>
      </c>
      <c r="K25" s="150">
        <f t="shared" si="3"/>
        <v>1548859334.167207</v>
      </c>
      <c r="L25" s="151">
        <f t="shared" si="4"/>
        <v>1.3755411493492069</v>
      </c>
    </row>
    <row r="26" spans="1:12" ht="22.5" customHeight="1">
      <c r="A26" s="65" t="str">
        <f>+'S&amp;D'!A28</f>
        <v>DTE Energy</v>
      </c>
      <c r="B26" s="93" t="str">
        <f>+'S&amp;D'!B28</f>
        <v>DTE</v>
      </c>
      <c r="C26" s="68">
        <f>+'Growth &amp; Inflation Rates'!$D$93</f>
        <v>2.366E-2</v>
      </c>
      <c r="D26" s="332">
        <v>39346000000</v>
      </c>
      <c r="E26" s="149">
        <v>37083000000</v>
      </c>
      <c r="F26" s="149">
        <f t="shared" si="0"/>
        <v>38214500000</v>
      </c>
      <c r="G26" s="149">
        <v>1468000000</v>
      </c>
      <c r="H26" s="19">
        <f t="shared" si="5"/>
        <v>26.031675749318801</v>
      </c>
      <c r="I26" s="46">
        <f t="shared" si="1"/>
        <v>0.61590944822888283</v>
      </c>
      <c r="J26" s="47">
        <f t="shared" si="2"/>
        <v>0.54403800865385665</v>
      </c>
      <c r="K26" s="150">
        <f t="shared" si="3"/>
        <v>1982961490.56339</v>
      </c>
      <c r="L26" s="151">
        <f t="shared" si="4"/>
        <v>1.3507912061058516</v>
      </c>
    </row>
    <row r="27" spans="1:12" ht="22.5" customHeight="1">
      <c r="A27" s="65" t="str">
        <f>+'S&amp;D'!A29</f>
        <v>Duke Energy</v>
      </c>
      <c r="B27" s="93" t="str">
        <f>+'S&amp;D'!B29</f>
        <v>DUK</v>
      </c>
      <c r="C27" s="68">
        <f>+'Growth &amp; Inflation Rates'!$D$93</f>
        <v>2.366E-2</v>
      </c>
      <c r="D27" s="332">
        <v>163839000000</v>
      </c>
      <c r="E27" s="149">
        <v>154496000000</v>
      </c>
      <c r="F27" s="149">
        <f t="shared" si="0"/>
        <v>159167500000</v>
      </c>
      <c r="G27" s="149">
        <v>5086000000</v>
      </c>
      <c r="H27" s="19">
        <f t="shared" si="5"/>
        <v>31.295222178529297</v>
      </c>
      <c r="I27" s="46">
        <f t="shared" si="1"/>
        <v>0.74044495674400324</v>
      </c>
      <c r="J27" s="47">
        <f t="shared" si="2"/>
        <v>0.48103211083879538</v>
      </c>
      <c r="K27" s="150">
        <f t="shared" si="3"/>
        <v>7256524206.3179274</v>
      </c>
      <c r="L27" s="151">
        <f t="shared" si="4"/>
        <v>1.4267644920011655</v>
      </c>
    </row>
    <row r="28" spans="1:12" ht="22.5" customHeight="1">
      <c r="A28" s="65" t="str">
        <f>+'S&amp;D'!A30</f>
        <v>Entergy Corp</v>
      </c>
      <c r="B28" s="93" t="str">
        <f>+'S&amp;D'!B30</f>
        <v>ETR</v>
      </c>
      <c r="C28" s="68">
        <f>+'Growth &amp; Inflation Rates'!$D$93</f>
        <v>2.366E-2</v>
      </c>
      <c r="D28" s="332">
        <v>67765171000</v>
      </c>
      <c r="E28" s="149">
        <v>67011211000</v>
      </c>
      <c r="F28" s="149">
        <f t="shared" si="0"/>
        <v>67388191000</v>
      </c>
      <c r="G28" s="149">
        <v>1761023000</v>
      </c>
      <c r="H28" s="19">
        <f t="shared" si="5"/>
        <v>38.266502481796095</v>
      </c>
      <c r="I28" s="46">
        <f t="shared" si="1"/>
        <v>0.9053854487192956</v>
      </c>
      <c r="J28" s="47">
        <f t="shared" si="2"/>
        <v>0.40867267858688516</v>
      </c>
      <c r="K28" s="150">
        <f t="shared" si="3"/>
        <v>2696314784.2548485</v>
      </c>
      <c r="L28" s="151">
        <f t="shared" si="4"/>
        <v>1.5311070805178857</v>
      </c>
    </row>
    <row r="29" spans="1:12" ht="22.5" customHeight="1">
      <c r="A29" s="65" t="str">
        <f>+'S&amp;D'!A31</f>
        <v>Evergy Inc</v>
      </c>
      <c r="B29" s="93" t="str">
        <f>+'S&amp;D'!B31</f>
        <v>EVRG</v>
      </c>
      <c r="C29" s="68">
        <f>+'Growth &amp; Inflation Rates'!$D$93</f>
        <v>2.366E-2</v>
      </c>
      <c r="D29" s="332">
        <f>22136500000+12304900000</f>
        <v>34441400000</v>
      </c>
      <c r="E29" s="149">
        <f>21002600000+11515500000</f>
        <v>32518100000</v>
      </c>
      <c r="F29" s="149">
        <f t="shared" ref="F29" si="6">(D29+E29)/2</f>
        <v>33479750000</v>
      </c>
      <c r="G29" s="149">
        <v>929400000</v>
      </c>
      <c r="H29" s="19">
        <f t="shared" ref="H29" si="7">+F29/G29</f>
        <v>36.022971809769743</v>
      </c>
      <c r="I29" s="46">
        <f t="shared" ref="I29" si="8">+C29*H29</f>
        <v>0.85230351301915208</v>
      </c>
      <c r="J29" s="47">
        <f t="shared" ref="J29" si="9">1/(1+C29)^H29</f>
        <v>0.43068555268257719</v>
      </c>
      <c r="K29" s="150">
        <f t="shared" ref="K29" si="10">(G29*I29)/(1-J29)</f>
        <v>1391376749.2331796</v>
      </c>
      <c r="L29" s="151">
        <f t="shared" ref="L29" si="11">+K29/G29</f>
        <v>1.497069882970927</v>
      </c>
    </row>
    <row r="30" spans="1:12" ht="22.5" customHeight="1">
      <c r="A30" s="65" t="str">
        <f>+'S&amp;D'!A32</f>
        <v>FirstEnergy Corp</v>
      </c>
      <c r="B30" s="93" t="str">
        <f>+'S&amp;D'!B32</f>
        <v>FE</v>
      </c>
      <c r="C30" s="68">
        <f>+'Growth &amp; Inflation Rates'!$D$93</f>
        <v>2.366E-2</v>
      </c>
      <c r="D30" s="332">
        <f>47850000000+1693000000</f>
        <v>49543000000</v>
      </c>
      <c r="E30" s="149">
        <f>46002000000+1414000000</f>
        <v>47416000000</v>
      </c>
      <c r="F30" s="149">
        <f t="shared" si="0"/>
        <v>48479500000</v>
      </c>
      <c r="G30" s="149">
        <v>1375000000</v>
      </c>
      <c r="H30" s="19">
        <f t="shared" si="5"/>
        <v>35.25781818181818</v>
      </c>
      <c r="I30" s="46">
        <f t="shared" si="1"/>
        <v>0.83419997818181812</v>
      </c>
      <c r="J30" s="47">
        <f t="shared" si="2"/>
        <v>0.43846103011462634</v>
      </c>
      <c r="K30" s="150">
        <f t="shared" si="3"/>
        <v>2042645357.6928792</v>
      </c>
      <c r="L30" s="151">
        <f t="shared" si="4"/>
        <v>1.4855602601402758</v>
      </c>
    </row>
    <row r="31" spans="1:12" ht="22.5" customHeight="1">
      <c r="A31" s="65" t="str">
        <f>+'S&amp;D'!A33</f>
        <v>OGE Energy Corp.</v>
      </c>
      <c r="B31" s="93" t="str">
        <f>+'S&amp;D'!B33</f>
        <v>OGE</v>
      </c>
      <c r="C31" s="68">
        <f>+'Growth &amp; Inflation Rates'!$D$93</f>
        <v>2.366E-2</v>
      </c>
      <c r="D31" s="332">
        <v>15131300000</v>
      </c>
      <c r="E31" s="149">
        <v>14151800000</v>
      </c>
      <c r="F31" s="149">
        <f t="shared" si="0"/>
        <v>14641550000</v>
      </c>
      <c r="G31" s="149">
        <v>460900000</v>
      </c>
      <c r="H31" s="19">
        <f t="shared" si="5"/>
        <v>31.767303102625299</v>
      </c>
      <c r="I31" s="46">
        <f t="shared" si="1"/>
        <v>0.75161439140811459</v>
      </c>
      <c r="J31" s="47">
        <f t="shared" si="2"/>
        <v>0.47575103335263907</v>
      </c>
      <c r="K31" s="150">
        <f t="shared" si="3"/>
        <v>660791141.30714309</v>
      </c>
      <c r="L31" s="151">
        <f t="shared" si="4"/>
        <v>1.433697420931098</v>
      </c>
    </row>
    <row r="32" spans="1:12" ht="22.5" customHeight="1">
      <c r="A32" s="65" t="str">
        <f>+'S&amp;D'!A34</f>
        <v>Otter Tail Corp</v>
      </c>
      <c r="B32" s="93" t="str">
        <f>+'S&amp;D'!B34</f>
        <v>OTTR</v>
      </c>
      <c r="C32" s="68">
        <f>+'Growth &amp; Inflation Rates'!$D$93</f>
        <v>2.366E-2</v>
      </c>
      <c r="D32" s="332">
        <f>2958311000+309098000</f>
        <v>3267409000</v>
      </c>
      <c r="E32" s="149">
        <f>2833371000+290561000</f>
        <v>3123932000</v>
      </c>
      <c r="F32" s="149">
        <f t="shared" si="0"/>
        <v>3195670500</v>
      </c>
      <c r="G32" s="149">
        <v>92597000</v>
      </c>
      <c r="H32" s="19">
        <f t="shared" si="5"/>
        <v>34.511598647904357</v>
      </c>
      <c r="I32" s="46">
        <f t="shared" si="1"/>
        <v>0.81654442400941707</v>
      </c>
      <c r="J32" s="47">
        <f t="shared" si="2"/>
        <v>0.44617928835218712</v>
      </c>
      <c r="K32" s="150">
        <f t="shared" si="3"/>
        <v>136523539.91065943</v>
      </c>
      <c r="L32" s="151">
        <f t="shared" si="4"/>
        <v>1.4743840503543251</v>
      </c>
    </row>
    <row r="33" spans="1:12" ht="22.5" customHeight="1">
      <c r="A33" s="65" t="str">
        <f>+'S&amp;D'!A35</f>
        <v>PPL Corporation</v>
      </c>
      <c r="B33" s="93" t="str">
        <f>+'S&amp;D'!B35</f>
        <v>PPL</v>
      </c>
      <c r="C33" s="68">
        <f>+'Growth &amp; Inflation Rates'!$D$93</f>
        <v>2.366E-2</v>
      </c>
      <c r="D33" s="332">
        <f>30238000000+8352000000+46000000</f>
        <v>38636000000</v>
      </c>
      <c r="E33" s="149">
        <f>25470000000+6488000000+41000000</f>
        <v>31999000000</v>
      </c>
      <c r="F33" s="149">
        <f t="shared" si="0"/>
        <v>35317500000</v>
      </c>
      <c r="G33" s="149">
        <v>1181000000</v>
      </c>
      <c r="H33" s="19">
        <f t="shared" si="5"/>
        <v>29.904741744284504</v>
      </c>
      <c r="I33" s="46">
        <f t="shared" si="1"/>
        <v>0.70754618966977134</v>
      </c>
      <c r="J33" s="47">
        <f t="shared" si="2"/>
        <v>0.49693022952253069</v>
      </c>
      <c r="K33" s="150">
        <f t="shared" si="3"/>
        <v>1661026161.8520844</v>
      </c>
      <c r="L33" s="151">
        <f t="shared" si="4"/>
        <v>1.4064573766740764</v>
      </c>
    </row>
    <row r="34" spans="1:12" ht="22.5" customHeight="1">
      <c r="A34" s="65" t="str">
        <f>+'S&amp;D'!A36</f>
        <v>The Southern Company</v>
      </c>
      <c r="B34" s="93" t="str">
        <f>+'S&amp;D'!B36</f>
        <v>SO</v>
      </c>
      <c r="C34" s="68">
        <f>+'Growth &amp; Inflation Rates'!$D$93</f>
        <v>2.366E-2</v>
      </c>
      <c r="D34" s="332">
        <f>94570000000+82232000000</f>
        <v>176802000000</v>
      </c>
      <c r="E34" s="149">
        <f>91108000000+34079000000</f>
        <v>125187000000</v>
      </c>
      <c r="F34" s="149">
        <f t="shared" si="0"/>
        <v>150994500000</v>
      </c>
      <c r="G34" s="149">
        <v>3663000000</v>
      </c>
      <c r="H34" s="19">
        <f t="shared" si="5"/>
        <v>41.22153972153972</v>
      </c>
      <c r="I34" s="46">
        <f t="shared" si="1"/>
        <v>0.97530162981162982</v>
      </c>
      <c r="J34" s="47">
        <f t="shared" si="2"/>
        <v>0.38138625226375833</v>
      </c>
      <c r="K34" s="150">
        <f t="shared" si="3"/>
        <v>5775057348.9084816</v>
      </c>
      <c r="L34" s="151">
        <f t="shared" si="4"/>
        <v>1.5765922328442483</v>
      </c>
    </row>
    <row r="35" spans="1:12" ht="22.5" customHeight="1">
      <c r="A35" s="65" t="str">
        <f>+'S&amp;D'!A37</f>
        <v>WEC Energy Group</v>
      </c>
      <c r="B35" s="93" t="str">
        <f>+'S&amp;D'!B37</f>
        <v>WEC</v>
      </c>
      <c r="C35" s="68">
        <f>+'Growth &amp; Inflation Rates'!$D$93</f>
        <v>2.366E-2</v>
      </c>
      <c r="D35" s="332">
        <f>29113800000+10383800000</f>
        <v>39497600000</v>
      </c>
      <c r="E35" s="334">
        <f>26982400000+9889300000</f>
        <v>36871700000</v>
      </c>
      <c r="F35" s="149">
        <f t="shared" si="0"/>
        <v>38184650000</v>
      </c>
      <c r="G35" s="149">
        <v>1122600000</v>
      </c>
      <c r="H35" s="19">
        <f t="shared" si="5"/>
        <v>34.014475325138072</v>
      </c>
      <c r="I35" s="46">
        <f t="shared" si="1"/>
        <v>0.80478248619276682</v>
      </c>
      <c r="J35" s="47">
        <f t="shared" si="2"/>
        <v>0.4513963659332248</v>
      </c>
      <c r="K35" s="150">
        <f t="shared" si="3"/>
        <v>1646815228.5152991</v>
      </c>
      <c r="L35" s="151">
        <f t="shared" si="4"/>
        <v>1.4669652846207901</v>
      </c>
    </row>
    <row r="36" spans="1:12" ht="22.5" customHeight="1" thickBot="1">
      <c r="A36" s="13"/>
      <c r="B36" s="13"/>
      <c r="D36" s="48"/>
      <c r="E36" s="48"/>
      <c r="F36" s="48"/>
      <c r="G36" s="48" t="s">
        <v>64</v>
      </c>
      <c r="H36" s="48"/>
      <c r="I36" s="48" t="s">
        <v>64</v>
      </c>
      <c r="J36" s="48"/>
      <c r="K36" s="48"/>
      <c r="L36" s="48"/>
    </row>
    <row r="37" spans="1:12" ht="22.5" customHeight="1" thickTop="1">
      <c r="A37" s="13"/>
      <c r="B37" s="13"/>
      <c r="D37" s="49" t="s">
        <v>0</v>
      </c>
      <c r="E37" s="36" t="s">
        <v>0</v>
      </c>
      <c r="F37" s="36"/>
      <c r="G37" s="49" t="s">
        <v>0</v>
      </c>
      <c r="H37" s="36"/>
      <c r="I37" s="49" t="s">
        <v>0</v>
      </c>
      <c r="J37" s="49" t="s">
        <v>0</v>
      </c>
      <c r="K37" s="15" t="s">
        <v>65</v>
      </c>
      <c r="L37" s="323">
        <v>1.5860000000000001</v>
      </c>
    </row>
    <row r="38" spans="1:12" ht="22.5" customHeight="1">
      <c r="B38" s="13"/>
      <c r="D38" s="36" t="s">
        <v>0</v>
      </c>
      <c r="E38" s="36" t="s">
        <v>0</v>
      </c>
      <c r="F38" s="36"/>
      <c r="G38" s="49"/>
      <c r="H38" s="36"/>
      <c r="I38" s="49"/>
      <c r="J38" s="49"/>
      <c r="K38" s="15" t="s">
        <v>66</v>
      </c>
      <c r="L38" s="324">
        <v>1.2864</v>
      </c>
    </row>
    <row r="39" spans="1:12" ht="22.5" customHeight="1">
      <c r="B39" s="13"/>
      <c r="C39" s="13"/>
      <c r="D39" s="336" t="s">
        <v>0</v>
      </c>
      <c r="E39" s="13"/>
      <c r="F39" s="13"/>
      <c r="G39" s="13"/>
      <c r="H39" s="13"/>
      <c r="I39" s="13"/>
      <c r="J39" s="13"/>
      <c r="K39" s="15" t="s">
        <v>18</v>
      </c>
      <c r="L39" s="57">
        <f>MEDIAN(L20:L35)</f>
        <v>1.4315365065060046</v>
      </c>
    </row>
    <row r="40" spans="1:12" ht="22.5" customHeight="1">
      <c r="A40" s="13"/>
      <c r="B40" s="13"/>
      <c r="C40" s="13"/>
      <c r="D40" s="13" t="s">
        <v>0</v>
      </c>
      <c r="E40" s="13"/>
      <c r="F40" s="13"/>
      <c r="G40" s="13"/>
      <c r="H40" s="13"/>
      <c r="I40" s="13"/>
      <c r="J40" s="13"/>
      <c r="K40" s="15" t="s">
        <v>466</v>
      </c>
      <c r="L40" s="57">
        <f>AVERAGE(L20:L35)</f>
        <v>1.4355390550148417</v>
      </c>
    </row>
    <row r="41" spans="1:12" ht="22.5" customHeight="1" thickBot="1">
      <c r="A41" s="13"/>
      <c r="B41" s="13"/>
      <c r="C41" s="13"/>
      <c r="D41" s="13"/>
      <c r="E41" s="13"/>
      <c r="F41" s="13"/>
      <c r="G41" s="13" t="s">
        <v>0</v>
      </c>
      <c r="H41" s="13"/>
      <c r="I41" s="13"/>
      <c r="J41" s="13"/>
      <c r="K41" s="13"/>
      <c r="L41" s="13"/>
    </row>
    <row r="42" spans="1:12" ht="22.5" customHeight="1" thickBot="1">
      <c r="A42" s="13"/>
      <c r="B42" s="13"/>
      <c r="C42" s="13"/>
      <c r="D42" s="13"/>
      <c r="E42" s="13"/>
      <c r="F42" s="13"/>
      <c r="G42" s="13"/>
      <c r="H42" s="13"/>
      <c r="I42" s="13"/>
      <c r="J42" s="13"/>
      <c r="K42" s="221" t="s">
        <v>250</v>
      </c>
      <c r="L42" s="421">
        <v>1.4355</v>
      </c>
    </row>
    <row r="43" spans="1:12">
      <c r="A43" s="13"/>
      <c r="B43" s="13"/>
      <c r="C43" s="13"/>
      <c r="D43" s="13"/>
      <c r="E43" s="13"/>
      <c r="F43" s="13"/>
      <c r="G43" s="13"/>
      <c r="H43" s="13"/>
      <c r="I43" s="13"/>
      <c r="J43" s="13"/>
      <c r="K43" s="13"/>
      <c r="L43" s="13"/>
    </row>
    <row r="44" spans="1:12">
      <c r="A44" s="13"/>
      <c r="B44" s="13"/>
      <c r="C44" s="13"/>
      <c r="D44" s="13"/>
      <c r="E44" s="13"/>
      <c r="F44" s="13"/>
      <c r="G44" s="13"/>
      <c r="H44" s="13"/>
      <c r="I44" s="13"/>
      <c r="J44" s="13"/>
      <c r="K44" s="13"/>
      <c r="L44" s="13"/>
    </row>
    <row r="45" spans="1:12" ht="18">
      <c r="A45" s="32" t="s">
        <v>107</v>
      </c>
      <c r="B45" s="13"/>
      <c r="C45" s="13"/>
      <c r="D45" s="13"/>
      <c r="E45" s="13"/>
      <c r="F45" s="13"/>
      <c r="G45" s="13"/>
      <c r="H45" s="13"/>
      <c r="I45" s="13"/>
      <c r="J45" s="13"/>
      <c r="K45" s="13"/>
      <c r="L45" s="13"/>
    </row>
    <row r="46" spans="1:12">
      <c r="A46" s="13" t="s">
        <v>312</v>
      </c>
    </row>
    <row r="47" spans="1:12">
      <c r="A47" s="13"/>
    </row>
    <row r="48" spans="1:12">
      <c r="A48" s="13" t="s">
        <v>430</v>
      </c>
    </row>
    <row r="49" spans="1:12" ht="18">
      <c r="A49" s="258"/>
      <c r="B49" s="258"/>
      <c r="C49" s="258"/>
      <c r="D49" s="258"/>
      <c r="E49" s="258"/>
      <c r="F49" s="258"/>
      <c r="G49" s="258"/>
      <c r="H49" s="258"/>
      <c r="I49" s="258"/>
      <c r="J49" s="258"/>
      <c r="K49" s="258"/>
      <c r="L49" s="258"/>
    </row>
    <row r="50" spans="1:12" ht="20.25">
      <c r="A50" s="25" t="s">
        <v>1</v>
      </c>
      <c r="B50" s="13"/>
      <c r="C50" s="13"/>
      <c r="D50" s="13"/>
      <c r="E50" s="13"/>
      <c r="F50" s="13"/>
      <c r="G50" s="13"/>
      <c r="H50" s="13"/>
      <c r="I50" s="13"/>
      <c r="J50" s="13"/>
      <c r="K50" s="258"/>
      <c r="L50" s="258"/>
    </row>
    <row r="51" spans="1:12" ht="18">
      <c r="A51" s="26" t="s">
        <v>9</v>
      </c>
      <c r="B51" s="13"/>
      <c r="C51" s="13"/>
      <c r="D51" s="13"/>
      <c r="E51" s="13"/>
      <c r="F51" s="13"/>
      <c r="G51" s="13"/>
      <c r="H51" s="13"/>
      <c r="I51" s="13"/>
      <c r="J51" s="13"/>
      <c r="K51" s="258"/>
      <c r="L51" s="258"/>
    </row>
    <row r="52" spans="1:12" ht="18">
      <c r="A52" s="27" t="s">
        <v>97</v>
      </c>
      <c r="B52" s="13"/>
      <c r="C52" s="13"/>
      <c r="D52" s="13"/>
      <c r="E52" s="13"/>
      <c r="F52" s="13"/>
      <c r="G52" s="13"/>
      <c r="H52" s="13"/>
      <c r="I52" s="13"/>
      <c r="J52" s="13"/>
      <c r="K52" s="258"/>
      <c r="L52" s="258"/>
    </row>
    <row r="53" spans="1:12" ht="18">
      <c r="A53" s="27"/>
      <c r="B53" s="13"/>
      <c r="C53" s="13"/>
      <c r="D53" s="13"/>
      <c r="E53" s="13"/>
      <c r="F53" s="13"/>
      <c r="G53" s="13"/>
      <c r="H53" s="13"/>
      <c r="I53" s="13"/>
      <c r="J53" s="13"/>
      <c r="K53" s="258"/>
      <c r="L53" s="258"/>
    </row>
    <row r="54" spans="1:12" ht="18">
      <c r="A54" s="27"/>
      <c r="B54" s="13"/>
      <c r="C54" s="13"/>
      <c r="D54" s="13"/>
      <c r="E54" s="13"/>
      <c r="F54" s="13"/>
      <c r="G54" s="13"/>
      <c r="H54" s="13"/>
      <c r="I54" s="13"/>
      <c r="J54" s="13"/>
      <c r="K54" s="258"/>
      <c r="L54" s="258"/>
    </row>
    <row r="55" spans="1:12" ht="18">
      <c r="A55" s="27"/>
      <c r="B55" s="13"/>
      <c r="C55" s="13"/>
      <c r="D55" s="13"/>
      <c r="E55" s="13"/>
      <c r="F55" s="13"/>
      <c r="G55" s="13"/>
      <c r="H55" s="13"/>
      <c r="I55" s="13"/>
      <c r="J55" s="13"/>
      <c r="K55" s="258"/>
      <c r="L55" s="258"/>
    </row>
    <row r="56" spans="1:12" ht="18.75" thickBot="1">
      <c r="B56" s="13"/>
      <c r="C56" s="13"/>
      <c r="D56" s="13"/>
      <c r="E56" s="13"/>
      <c r="F56" s="30"/>
      <c r="G56" s="30"/>
      <c r="H56" s="31" t="s">
        <v>0</v>
      </c>
      <c r="I56" s="13"/>
      <c r="J56" s="13"/>
      <c r="K56" s="258"/>
      <c r="L56" s="258"/>
    </row>
    <row r="57" spans="1:12" ht="20.25">
      <c r="B57" s="13"/>
      <c r="C57" s="13"/>
      <c r="D57" s="13"/>
      <c r="E57" s="13"/>
      <c r="F57" s="13"/>
      <c r="G57" s="33" t="s">
        <v>341</v>
      </c>
      <c r="H57" s="13"/>
      <c r="I57" s="13"/>
      <c r="J57" s="13"/>
      <c r="K57" s="258"/>
      <c r="L57" s="258"/>
    </row>
    <row r="58" spans="1:12" ht="18.75" thickBot="1">
      <c r="B58" s="42" t="s">
        <v>0</v>
      </c>
      <c r="C58" s="42" t="s">
        <v>0</v>
      </c>
      <c r="D58" s="13"/>
      <c r="E58" s="13"/>
      <c r="F58" s="35" t="s">
        <v>0</v>
      </c>
      <c r="G58" s="38" t="s">
        <v>111</v>
      </c>
      <c r="H58" s="35" t="s">
        <v>0</v>
      </c>
      <c r="I58" s="42" t="s">
        <v>0</v>
      </c>
      <c r="J58" s="13"/>
      <c r="K58" s="258"/>
      <c r="L58" s="258"/>
    </row>
    <row r="59" spans="1:12" ht="18">
      <c r="A59" s="258"/>
      <c r="B59" s="258"/>
      <c r="C59" s="258"/>
      <c r="D59" s="258"/>
      <c r="E59" s="258"/>
      <c r="F59" s="258"/>
      <c r="G59" s="258"/>
      <c r="H59" s="258"/>
      <c r="I59" s="258"/>
      <c r="J59" s="258"/>
      <c r="K59" s="258"/>
      <c r="L59" s="258"/>
    </row>
    <row r="60" spans="1:12" ht="18">
      <c r="A60" s="258"/>
      <c r="B60" s="258"/>
      <c r="C60" s="258"/>
      <c r="D60" s="258"/>
      <c r="E60" s="258"/>
      <c r="F60" s="258"/>
      <c r="G60" s="258"/>
      <c r="H60" s="258"/>
      <c r="I60" s="258"/>
      <c r="J60" s="258"/>
      <c r="K60" s="258"/>
      <c r="L60" s="258"/>
    </row>
    <row r="61" spans="1:12" ht="18">
      <c r="A61" s="258"/>
      <c r="B61" s="258"/>
      <c r="C61" s="258"/>
      <c r="D61" s="258"/>
      <c r="E61" s="258"/>
      <c r="F61" s="258"/>
      <c r="G61" s="258"/>
      <c r="H61" s="258"/>
      <c r="I61" s="258"/>
      <c r="J61" s="258"/>
      <c r="K61" s="258"/>
      <c r="L61" s="258"/>
    </row>
    <row r="62" spans="1:12">
      <c r="A62" s="42"/>
      <c r="B62" s="42"/>
      <c r="C62" s="42"/>
      <c r="D62" s="13"/>
      <c r="E62" s="13"/>
      <c r="J62" s="13"/>
      <c r="K62" s="13"/>
      <c r="L62" s="13"/>
    </row>
    <row r="63" spans="1:12" ht="25.5">
      <c r="A63" s="252" t="s">
        <v>330</v>
      </c>
      <c r="B63" s="42"/>
      <c r="C63" s="254" t="s">
        <v>335</v>
      </c>
      <c r="D63" s="13"/>
      <c r="E63" s="13"/>
      <c r="J63" s="13"/>
      <c r="K63" s="13"/>
      <c r="L63" s="13"/>
    </row>
    <row r="64" spans="1:12" ht="25.5">
      <c r="A64" s="252" t="s">
        <v>334</v>
      </c>
      <c r="B64" s="42"/>
      <c r="C64" s="254" t="s">
        <v>340</v>
      </c>
      <c r="D64" s="13"/>
      <c r="E64" s="13"/>
      <c r="J64" s="13"/>
      <c r="K64" s="13"/>
      <c r="L64" s="13"/>
    </row>
    <row r="65" spans="1:12" ht="18.75" customHeight="1">
      <c r="A65" s="252"/>
      <c r="B65" s="42"/>
      <c r="C65" s="254"/>
      <c r="D65" s="13"/>
      <c r="E65" s="13"/>
      <c r="J65" s="13"/>
      <c r="K65" s="13"/>
      <c r="L65" s="13"/>
    </row>
    <row r="66" spans="1:12" ht="15.75">
      <c r="A66" s="253" t="s">
        <v>331</v>
      </c>
      <c r="B66" s="42"/>
      <c r="C66" s="42"/>
      <c r="D66" s="13"/>
      <c r="E66" s="13"/>
      <c r="J66" s="13"/>
      <c r="K66" s="13"/>
      <c r="L66" s="13"/>
    </row>
    <row r="67" spans="1:12" ht="15.75">
      <c r="A67" s="253" t="s">
        <v>332</v>
      </c>
      <c r="B67" s="42"/>
      <c r="C67" s="42"/>
      <c r="D67" s="13"/>
      <c r="E67" s="13"/>
      <c r="J67" s="13"/>
      <c r="K67" s="13"/>
      <c r="L67" s="13"/>
    </row>
    <row r="68" spans="1:12" ht="15.75">
      <c r="A68" s="253" t="s">
        <v>333</v>
      </c>
      <c r="B68" s="42"/>
      <c r="C68" s="42"/>
      <c r="D68" s="13"/>
      <c r="E68" s="13"/>
      <c r="J68" s="13"/>
      <c r="K68" s="13"/>
      <c r="L68" s="13"/>
    </row>
    <row r="74" spans="1:12" ht="25.5">
      <c r="A74" s="255" t="s">
        <v>339</v>
      </c>
      <c r="B74" s="115"/>
      <c r="C74" s="115"/>
      <c r="D74" s="115"/>
      <c r="E74" s="115"/>
      <c r="F74" s="115"/>
      <c r="G74" s="13"/>
      <c r="H74" s="13"/>
      <c r="I74" s="13"/>
    </row>
    <row r="75" spans="1:12" ht="15.75">
      <c r="A75" s="115"/>
      <c r="B75" s="115"/>
      <c r="C75" s="115"/>
      <c r="D75" s="115"/>
      <c r="E75" s="115"/>
      <c r="F75" s="115"/>
      <c r="G75" s="13"/>
      <c r="H75" s="13"/>
      <c r="I75" s="13"/>
    </row>
    <row r="76" spans="1:12" ht="16.5" thickBot="1">
      <c r="A76" s="256" t="s">
        <v>336</v>
      </c>
      <c r="B76" s="117"/>
      <c r="C76" s="117"/>
      <c r="D76" s="257" t="s">
        <v>338</v>
      </c>
      <c r="E76" s="117"/>
      <c r="F76" s="115"/>
      <c r="G76" s="13"/>
      <c r="H76" s="13"/>
      <c r="I76" s="13"/>
    </row>
    <row r="77" spans="1:12" ht="15.75">
      <c r="A77" s="115"/>
      <c r="B77" s="115"/>
      <c r="C77" s="115"/>
      <c r="D77" s="115" t="s">
        <v>337</v>
      </c>
      <c r="E77" s="115"/>
      <c r="F77" s="115"/>
      <c r="G77" s="13"/>
      <c r="H77" s="13"/>
      <c r="I77" s="13"/>
    </row>
    <row r="78" spans="1:12" ht="15.75">
      <c r="A78" s="115"/>
      <c r="B78" s="115"/>
      <c r="C78" s="115"/>
      <c r="D78" s="115"/>
      <c r="E78" s="115"/>
      <c r="F78" s="115"/>
      <c r="G78" s="13"/>
      <c r="H78" s="13"/>
      <c r="I78" s="13"/>
    </row>
    <row r="79" spans="1:12">
      <c r="A79" s="13"/>
      <c r="B79" s="13"/>
      <c r="C79" s="13"/>
      <c r="D79" s="13"/>
      <c r="E79" s="13"/>
      <c r="F79" s="13"/>
      <c r="G79" s="13"/>
      <c r="H79" s="13"/>
      <c r="I79" s="13"/>
    </row>
    <row r="80" spans="1:12">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t="s">
        <v>0</v>
      </c>
      <c r="B84" s="13"/>
      <c r="C84" s="13"/>
      <c r="D84" s="13"/>
      <c r="E84" s="13"/>
      <c r="F84" s="13"/>
      <c r="G84" s="13"/>
      <c r="H84" s="13"/>
      <c r="I84" s="13"/>
    </row>
    <row r="85" spans="1:9">
      <c r="A85" s="13"/>
      <c r="B85" s="13"/>
      <c r="C85" s="13"/>
      <c r="D85" s="13"/>
      <c r="E85" s="13"/>
      <c r="F85" s="13"/>
      <c r="G85" s="13"/>
      <c r="H85" s="13"/>
      <c r="I85" s="13"/>
    </row>
  </sheetData>
  <pageMargins left="0.25" right="0.25" top="0.75" bottom="0.75" header="0.3" footer="0.3"/>
  <pageSetup scale="51" orientation="landscape" r:id="rId1"/>
  <rowBreaks count="1" manualBreakCount="1">
    <brk id="4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J43"/>
  <sheetViews>
    <sheetView view="pageBreakPreview" topLeftCell="A9" zoomScale="60" zoomScaleNormal="80" workbookViewId="0">
      <selection activeCell="A9" sqref="A9"/>
    </sheetView>
  </sheetViews>
  <sheetFormatPr defaultRowHeight="15"/>
  <cols>
    <col min="1" max="1" width="45.140625" customWidth="1"/>
    <col min="2" max="2" width="17" customWidth="1"/>
    <col min="3" max="3" width="24.5703125" customWidth="1"/>
    <col min="4" max="4" width="16.85546875" customWidth="1"/>
    <col min="5" max="5" width="23.5703125" customWidth="1"/>
    <col min="6" max="6" width="22.85546875" customWidth="1"/>
    <col min="7" max="7" width="21.28515625" customWidth="1"/>
    <col min="8" max="8" width="19.7109375" customWidth="1"/>
    <col min="9" max="9" width="32.140625" customWidth="1"/>
    <col min="10" max="10" width="14.140625" bestFit="1" customWidth="1"/>
    <col min="12" max="12" width="10.5703125" customWidth="1"/>
  </cols>
  <sheetData>
    <row r="1" spans="1:9" ht="20.25">
      <c r="A1" s="25" t="s">
        <v>1</v>
      </c>
      <c r="B1" s="13"/>
      <c r="C1" s="13"/>
      <c r="D1" s="13"/>
      <c r="E1" s="13"/>
      <c r="F1" s="13"/>
      <c r="G1" s="13"/>
      <c r="H1" s="13"/>
      <c r="I1" s="13"/>
    </row>
    <row r="2" spans="1:9" ht="15.75">
      <c r="A2" s="26" t="s">
        <v>9</v>
      </c>
      <c r="B2" s="13"/>
      <c r="C2" s="13"/>
      <c r="D2" s="13"/>
      <c r="E2" s="13"/>
      <c r="F2" s="13"/>
      <c r="G2" s="13"/>
      <c r="H2" s="13"/>
      <c r="I2" s="13"/>
    </row>
    <row r="3" spans="1:9">
      <c r="A3" s="27" t="s">
        <v>97</v>
      </c>
      <c r="B3" s="13"/>
      <c r="C3" s="13"/>
      <c r="D3" s="13"/>
      <c r="E3" s="13"/>
      <c r="F3" s="13"/>
      <c r="G3" s="13"/>
      <c r="H3" s="13"/>
      <c r="I3" s="13"/>
    </row>
    <row r="4" spans="1:9">
      <c r="A4" s="27"/>
      <c r="B4" s="13"/>
      <c r="C4" s="13"/>
      <c r="D4" s="13"/>
      <c r="E4" s="13"/>
      <c r="F4" s="13"/>
      <c r="G4" s="13"/>
      <c r="H4" s="13"/>
      <c r="I4" s="13"/>
    </row>
    <row r="5" spans="1:9">
      <c r="A5" s="27"/>
      <c r="B5" s="13"/>
      <c r="C5" s="13"/>
      <c r="D5" s="13"/>
      <c r="E5" s="13"/>
      <c r="F5" s="13"/>
      <c r="G5" s="13"/>
      <c r="H5" s="13"/>
      <c r="I5" s="13"/>
    </row>
    <row r="6" spans="1:9">
      <c r="A6" s="27"/>
      <c r="B6" s="13"/>
      <c r="C6" s="13"/>
      <c r="D6" s="13"/>
      <c r="E6" s="13"/>
      <c r="F6" s="13"/>
      <c r="G6" s="13"/>
      <c r="H6" s="13"/>
      <c r="I6" s="13"/>
    </row>
    <row r="7" spans="1:9" ht="15.75" thickBot="1">
      <c r="A7" s="13"/>
      <c r="B7" s="13"/>
      <c r="C7" s="13"/>
      <c r="H7" s="28"/>
      <c r="I7" s="13"/>
    </row>
    <row r="8" spans="1:9" ht="18.75" thickBot="1">
      <c r="A8" s="287" t="str">
        <f>+'S&amp;D'!A12</f>
        <v>Electric Utilities</v>
      </c>
      <c r="B8" s="215"/>
      <c r="C8" s="13"/>
      <c r="D8" s="30"/>
      <c r="E8" s="30"/>
      <c r="F8" s="30"/>
      <c r="H8" s="13"/>
      <c r="I8" s="13"/>
    </row>
    <row r="9" spans="1:9" ht="20.25">
      <c r="A9" s="32"/>
      <c r="B9" s="13"/>
      <c r="C9" s="13"/>
      <c r="D9" s="13"/>
      <c r="E9" s="33" t="s">
        <v>160</v>
      </c>
      <c r="F9" s="33"/>
      <c r="H9" s="13"/>
      <c r="I9" s="13"/>
    </row>
    <row r="10" spans="1:9" ht="18.75" thickBot="1">
      <c r="A10" s="32"/>
      <c r="B10" s="13"/>
      <c r="C10" s="13"/>
      <c r="D10" s="30"/>
      <c r="E10" s="38" t="s">
        <v>111</v>
      </c>
      <c r="F10" s="38"/>
      <c r="H10" s="13"/>
      <c r="I10" s="13"/>
    </row>
    <row r="11" spans="1:9" ht="18">
      <c r="A11" s="32"/>
      <c r="B11" s="13"/>
      <c r="I11" s="13"/>
    </row>
    <row r="12" spans="1:9" ht="15.75" thickBot="1">
      <c r="A12" s="35" t="s">
        <v>0</v>
      </c>
      <c r="B12" s="35" t="s">
        <v>0</v>
      </c>
      <c r="C12" s="35" t="s">
        <v>0</v>
      </c>
      <c r="D12" s="35" t="s">
        <v>0</v>
      </c>
      <c r="E12" s="35" t="s">
        <v>0</v>
      </c>
      <c r="F12" s="35"/>
      <c r="G12" s="35"/>
      <c r="H12" s="30"/>
      <c r="I12" s="30"/>
    </row>
    <row r="13" spans="1:9" ht="15.75">
      <c r="A13" s="93" t="s">
        <v>0</v>
      </c>
      <c r="B13" s="93" t="s">
        <v>3</v>
      </c>
      <c r="C13" s="93" t="s">
        <v>5</v>
      </c>
      <c r="D13" s="93" t="s">
        <v>21</v>
      </c>
      <c r="E13" s="199" t="s">
        <v>271</v>
      </c>
      <c r="F13" s="199" t="s">
        <v>385</v>
      </c>
      <c r="G13" s="93" t="s">
        <v>20</v>
      </c>
      <c r="H13" s="93" t="s">
        <v>184</v>
      </c>
      <c r="I13" s="93" t="s">
        <v>184</v>
      </c>
    </row>
    <row r="14" spans="1:9" ht="16.5" thickBot="1">
      <c r="A14" s="102" t="s">
        <v>2</v>
      </c>
      <c r="B14" s="102" t="s">
        <v>4</v>
      </c>
      <c r="C14" s="102" t="s">
        <v>6</v>
      </c>
      <c r="D14" s="102" t="s">
        <v>23</v>
      </c>
      <c r="E14" s="102" t="s">
        <v>386</v>
      </c>
      <c r="F14" s="102" t="s">
        <v>231</v>
      </c>
      <c r="G14" s="102" t="s">
        <v>22</v>
      </c>
      <c r="H14" s="102" t="s">
        <v>208</v>
      </c>
      <c r="I14" s="102" t="s">
        <v>156</v>
      </c>
    </row>
    <row r="15" spans="1:9">
      <c r="A15" s="40" t="s">
        <v>7</v>
      </c>
      <c r="B15" s="40" t="s">
        <v>7</v>
      </c>
      <c r="C15" s="40" t="s">
        <v>7</v>
      </c>
      <c r="D15" s="40" t="s">
        <v>7</v>
      </c>
      <c r="E15" s="248" t="s">
        <v>321</v>
      </c>
      <c r="F15" s="248" t="s">
        <v>321</v>
      </c>
      <c r="G15" s="40" t="s">
        <v>7</v>
      </c>
      <c r="H15" s="40" t="s">
        <v>7</v>
      </c>
      <c r="I15" s="248" t="s">
        <v>321</v>
      </c>
    </row>
    <row r="16" spans="1:9">
      <c r="A16" s="36"/>
      <c r="B16" s="36"/>
      <c r="C16" s="36"/>
      <c r="D16" s="36"/>
      <c r="G16" s="36"/>
      <c r="H16" s="36"/>
      <c r="I16" s="36"/>
    </row>
    <row r="17" spans="1:10">
      <c r="A17" s="13"/>
      <c r="B17" s="13"/>
      <c r="C17" s="13"/>
      <c r="D17" s="13"/>
      <c r="G17" s="13"/>
      <c r="H17" s="13"/>
      <c r="I17" s="13"/>
    </row>
    <row r="18" spans="1:10" ht="20.25" customHeight="1">
      <c r="A18" s="65" t="str">
        <f>+'S&amp;D'!A22</f>
        <v>ALLETE Inc</v>
      </c>
      <c r="B18" s="93" t="str">
        <f>+'S&amp;D'!B22</f>
        <v>ALE</v>
      </c>
      <c r="C18" s="93" t="str">
        <f>+'S&amp;D'!C22</f>
        <v>Electric Utility - Cent</v>
      </c>
      <c r="D18" s="320" t="s">
        <v>422</v>
      </c>
      <c r="E18" s="153">
        <v>0.08</v>
      </c>
      <c r="F18" s="153">
        <v>2.5000000000000001E-2</v>
      </c>
      <c r="G18" s="93" t="s">
        <v>24</v>
      </c>
      <c r="H18" s="62">
        <v>0.9</v>
      </c>
      <c r="I18" s="62">
        <v>0.9</v>
      </c>
    </row>
    <row r="19" spans="1:10" ht="20.25" customHeight="1">
      <c r="A19" s="65" t="str">
        <f>+'S&amp;D'!A23</f>
        <v>Alliant Energy</v>
      </c>
      <c r="B19" s="93" t="str">
        <f>+'S&amp;D'!B23</f>
        <v>LNT</v>
      </c>
      <c r="C19" s="93" t="str">
        <f>+'S&amp;D'!C23</f>
        <v>Electric Utility - Cent</v>
      </c>
      <c r="D19" s="154">
        <v>3.1E-2</v>
      </c>
      <c r="E19" s="153">
        <v>0.105</v>
      </c>
      <c r="F19" s="153">
        <v>0.04</v>
      </c>
      <c r="G19" s="93" t="s">
        <v>24</v>
      </c>
      <c r="H19" s="62">
        <v>0.85</v>
      </c>
      <c r="I19" s="62">
        <v>0.85</v>
      </c>
    </row>
    <row r="20" spans="1:10" ht="20.25" customHeight="1">
      <c r="A20" s="65" t="str">
        <f>+'S&amp;D'!A24</f>
        <v>AMEREN Corporation</v>
      </c>
      <c r="B20" s="93" t="str">
        <f>+'S&amp;D'!B24</f>
        <v>AEE</v>
      </c>
      <c r="C20" s="93" t="str">
        <f>+'S&amp;D'!C24</f>
        <v>Electric Utility - Cent</v>
      </c>
      <c r="D20" s="154">
        <v>0.12</v>
      </c>
      <c r="E20" s="153">
        <v>0.11</v>
      </c>
      <c r="F20" s="153">
        <v>0.05</v>
      </c>
      <c r="G20" s="93" t="s">
        <v>24</v>
      </c>
      <c r="H20" s="62">
        <v>0.8</v>
      </c>
      <c r="I20" s="62">
        <v>0.85</v>
      </c>
    </row>
    <row r="21" spans="1:10" ht="20.25" customHeight="1">
      <c r="A21" s="65" t="str">
        <f>+'S&amp;D'!A25</f>
        <v>American Electric Power</v>
      </c>
      <c r="B21" s="93" t="str">
        <f>+'S&amp;D'!B25</f>
        <v>AEP</v>
      </c>
      <c r="C21" s="93" t="str">
        <f>+'S&amp;D'!C25</f>
        <v>Electric Utility - Cent</v>
      </c>
      <c r="D21" s="154">
        <v>0.21</v>
      </c>
      <c r="E21" s="153">
        <v>0.1</v>
      </c>
      <c r="F21" s="153">
        <v>0.04</v>
      </c>
      <c r="G21" s="93" t="s">
        <v>63</v>
      </c>
      <c r="H21" s="62">
        <v>0.75</v>
      </c>
      <c r="I21" s="62">
        <v>0.75</v>
      </c>
    </row>
    <row r="22" spans="1:10" ht="20.25" customHeight="1">
      <c r="A22" s="65" t="str">
        <f>+'S&amp;D'!A26</f>
        <v>Centerpoint Energy</v>
      </c>
      <c r="B22" s="93" t="str">
        <f>+'S&amp;D'!B26</f>
        <v>CNP</v>
      </c>
      <c r="C22" s="93" t="str">
        <f>+'S&amp;D'!C26</f>
        <v>Electric Utility - Cent</v>
      </c>
      <c r="D22" s="154">
        <v>0.2</v>
      </c>
      <c r="E22" s="153">
        <v>0.09</v>
      </c>
      <c r="F22" s="153">
        <v>4.4999999999999998E-2</v>
      </c>
      <c r="G22" s="93" t="s">
        <v>26</v>
      </c>
      <c r="H22" s="62">
        <v>1.1499999999999999</v>
      </c>
      <c r="I22" s="62">
        <v>1.1000000000000001</v>
      </c>
    </row>
    <row r="23" spans="1:10" ht="20.25" customHeight="1">
      <c r="A23" s="65" t="str">
        <f>+'S&amp;D'!A27</f>
        <v>CMS Energy</v>
      </c>
      <c r="B23" s="93" t="str">
        <f>+'S&amp;D'!B27</f>
        <v>CMS</v>
      </c>
      <c r="C23" s="93" t="str">
        <f>+'S&amp;D'!C27</f>
        <v>Electric Utility - Cent</v>
      </c>
      <c r="D23" s="154">
        <v>0.10299999999999999</v>
      </c>
      <c r="E23" s="153">
        <v>0.115</v>
      </c>
      <c r="F23" s="153">
        <v>0.04</v>
      </c>
      <c r="G23" s="93" t="s">
        <v>24</v>
      </c>
      <c r="H23" s="62">
        <v>0.8</v>
      </c>
      <c r="I23" s="62">
        <v>0.8</v>
      </c>
    </row>
    <row r="24" spans="1:10" ht="20.25" customHeight="1">
      <c r="A24" s="65" t="str">
        <f>+'S&amp;D'!A28</f>
        <v>DTE Energy</v>
      </c>
      <c r="B24" s="93" t="str">
        <f>+'S&amp;D'!B28</f>
        <v>DTE</v>
      </c>
      <c r="C24" s="93" t="str">
        <f>+'S&amp;D'!C28</f>
        <v>Electric Utility - Cent</v>
      </c>
      <c r="D24" s="154">
        <v>2.5999999999999999E-2</v>
      </c>
      <c r="E24" s="153">
        <v>0.115</v>
      </c>
      <c r="F24" s="153">
        <v>4.4999999999999998E-2</v>
      </c>
      <c r="G24" s="93" t="s">
        <v>24</v>
      </c>
      <c r="H24" s="62">
        <v>0.95</v>
      </c>
      <c r="I24" s="62">
        <v>0.95</v>
      </c>
    </row>
    <row r="25" spans="1:10" ht="20.25" customHeight="1">
      <c r="A25" s="65" t="str">
        <f>+'S&amp;D'!A29</f>
        <v>Duke Energy</v>
      </c>
      <c r="B25" s="93" t="str">
        <f>+'S&amp;D'!B29</f>
        <v>DUK</v>
      </c>
      <c r="C25" s="93" t="str">
        <f>+'S&amp;D'!C29</f>
        <v>Electric Utility - East</v>
      </c>
      <c r="D25" s="154">
        <v>0.1</v>
      </c>
      <c r="E25" s="153">
        <v>0.09</v>
      </c>
      <c r="F25" s="153">
        <v>2.5000000000000001E-2</v>
      </c>
      <c r="G25" s="93" t="s">
        <v>24</v>
      </c>
      <c r="H25" s="62">
        <v>0.85</v>
      </c>
      <c r="I25" s="62">
        <v>0.85</v>
      </c>
      <c r="J25" s="11" t="s">
        <v>0</v>
      </c>
    </row>
    <row r="26" spans="1:10" ht="20.25" customHeight="1">
      <c r="A26" s="65" t="str">
        <f>+'S&amp;D'!A30</f>
        <v>Entergy Corp</v>
      </c>
      <c r="B26" s="93" t="str">
        <f>+'S&amp;D'!B30</f>
        <v>ETR</v>
      </c>
      <c r="C26" s="93" t="str">
        <f>+'S&amp;D'!C30</f>
        <v>Electric Utility - Cent</v>
      </c>
      <c r="D26" s="154">
        <v>0.161</v>
      </c>
      <c r="E26" s="153">
        <v>0.09</v>
      </c>
      <c r="F26" s="153">
        <v>2.5000000000000001E-2</v>
      </c>
      <c r="G26" s="93" t="s">
        <v>26</v>
      </c>
      <c r="H26" s="62">
        <v>0.95</v>
      </c>
      <c r="I26" s="62">
        <v>0.95</v>
      </c>
      <c r="J26" s="11"/>
    </row>
    <row r="27" spans="1:10" ht="20.25" customHeight="1">
      <c r="A27" s="65" t="str">
        <f>+'S&amp;D'!A31</f>
        <v>Evergy Inc</v>
      </c>
      <c r="B27" s="93" t="str">
        <f>+'S&amp;D'!B31</f>
        <v>EVRG</v>
      </c>
      <c r="C27" s="93" t="str">
        <f>+'S&amp;D'!C31</f>
        <v>Electric Utility - Cent</v>
      </c>
      <c r="D27" s="154">
        <v>5.8000000000000003E-2</v>
      </c>
      <c r="E27" s="153">
        <v>0.09</v>
      </c>
      <c r="F27" s="153">
        <v>0.03</v>
      </c>
      <c r="G27" s="93" t="s">
        <v>26</v>
      </c>
      <c r="H27" s="62">
        <v>0.95</v>
      </c>
      <c r="I27" s="62">
        <v>0.9</v>
      </c>
      <c r="J27" s="11"/>
    </row>
    <row r="28" spans="1:10" ht="20.25" customHeight="1">
      <c r="A28" s="65" t="str">
        <f>+'S&amp;D'!A32</f>
        <v>FirstEnergy Corp</v>
      </c>
      <c r="B28" s="93" t="str">
        <f>+'S&amp;D'!B32</f>
        <v>FE</v>
      </c>
      <c r="C28" s="93" t="str">
        <f>+'S&amp;D'!C32</f>
        <v>Electric Utility - East</v>
      </c>
      <c r="D28" s="154">
        <v>0.21</v>
      </c>
      <c r="E28" s="153">
        <v>0.15</v>
      </c>
      <c r="F28" s="153">
        <v>0.06</v>
      </c>
      <c r="G28" s="93" t="s">
        <v>25</v>
      </c>
      <c r="H28" s="62">
        <v>0.85</v>
      </c>
      <c r="I28" s="62">
        <v>0.85</v>
      </c>
      <c r="J28" s="11" t="s">
        <v>0</v>
      </c>
    </row>
    <row r="29" spans="1:10" ht="20.25" customHeight="1">
      <c r="A29" s="65" t="str">
        <f>+'S&amp;D'!A33</f>
        <v>OGE Energy Corp.</v>
      </c>
      <c r="B29" s="93" t="str">
        <f>+'S&amp;D'!B33</f>
        <v>OGE</v>
      </c>
      <c r="C29" s="93" t="str">
        <f>+'S&amp;D'!C33</f>
        <v>Electric Utility - Cent</v>
      </c>
      <c r="D29" s="154">
        <v>0.12</v>
      </c>
      <c r="E29" s="153">
        <v>0.12</v>
      </c>
      <c r="F29" s="153">
        <v>4.4999999999999998E-2</v>
      </c>
      <c r="G29" s="93" t="s">
        <v>24</v>
      </c>
      <c r="H29" s="62">
        <v>1.05</v>
      </c>
      <c r="I29" s="62">
        <v>1</v>
      </c>
      <c r="J29" s="11"/>
    </row>
    <row r="30" spans="1:10" ht="20.25" customHeight="1">
      <c r="A30" s="65" t="str">
        <f>+'S&amp;D'!A34</f>
        <v>Otter Tail Corp</v>
      </c>
      <c r="B30" s="93" t="str">
        <f>+'S&amp;D'!B34</f>
        <v>OTTR</v>
      </c>
      <c r="C30" s="93" t="str">
        <f>+'S&amp;D'!C34</f>
        <v>Electric Utility - Cent</v>
      </c>
      <c r="D30" s="154">
        <v>0.20499999999999999</v>
      </c>
      <c r="E30" s="153">
        <v>0.13500000000000001</v>
      </c>
      <c r="F30" s="153">
        <v>7.4999999999999997E-2</v>
      </c>
      <c r="G30" s="93" t="s">
        <v>24</v>
      </c>
      <c r="H30" s="62">
        <v>0.85</v>
      </c>
      <c r="I30" s="62">
        <v>0.9</v>
      </c>
      <c r="J30" s="11"/>
    </row>
    <row r="31" spans="1:10" ht="20.25" customHeight="1">
      <c r="A31" s="65" t="str">
        <f>+'S&amp;D'!A35</f>
        <v>PPL Corporation</v>
      </c>
      <c r="B31" s="93" t="str">
        <f>+'S&amp;D'!B35</f>
        <v>PPL</v>
      </c>
      <c r="C31" s="93" t="str">
        <f>+'S&amp;D'!C35</f>
        <v>Electric Utility - East</v>
      </c>
      <c r="D31" s="154">
        <v>0.21</v>
      </c>
      <c r="E31" s="283">
        <v>0.08</v>
      </c>
      <c r="F31" s="283">
        <v>3.5000000000000003E-2</v>
      </c>
      <c r="G31" s="93" t="s">
        <v>26</v>
      </c>
      <c r="H31" s="62">
        <v>1.1000000000000001</v>
      </c>
      <c r="I31" s="62">
        <v>1.05</v>
      </c>
      <c r="J31" s="11" t="s">
        <v>0</v>
      </c>
    </row>
    <row r="32" spans="1:10" ht="20.25" customHeight="1">
      <c r="A32" s="65" t="str">
        <f>+'S&amp;D'!A36</f>
        <v>The Southern Company</v>
      </c>
      <c r="B32" s="93" t="str">
        <f>+'S&amp;D'!B36</f>
        <v>SO</v>
      </c>
      <c r="C32" s="93" t="str">
        <f>+'S&amp;D'!C36</f>
        <v>Electric Utility - East</v>
      </c>
      <c r="D32" s="154">
        <v>0.15</v>
      </c>
      <c r="E32" s="283">
        <v>0.13</v>
      </c>
      <c r="F32" s="283">
        <v>3.5000000000000003E-2</v>
      </c>
      <c r="G32" s="93" t="s">
        <v>24</v>
      </c>
      <c r="H32" s="62">
        <v>0.95</v>
      </c>
      <c r="I32" s="62">
        <v>0.9</v>
      </c>
      <c r="J32" s="11" t="s">
        <v>0</v>
      </c>
    </row>
    <row r="33" spans="1:9" ht="20.25" customHeight="1" thickBot="1">
      <c r="A33" s="65" t="str">
        <f>+'S&amp;D'!A37</f>
        <v>WEC Energy Group</v>
      </c>
      <c r="B33" s="93" t="str">
        <f>+'S&amp;D'!B37</f>
        <v>WEC</v>
      </c>
      <c r="C33" s="93" t="str">
        <f>+'S&amp;D'!C37</f>
        <v>Electric Utility - Cent</v>
      </c>
      <c r="D33" s="318">
        <v>0.19</v>
      </c>
      <c r="E33" s="319">
        <v>0.125</v>
      </c>
      <c r="F33" s="319">
        <v>4.4999999999999998E-2</v>
      </c>
      <c r="G33" s="317" t="s">
        <v>63</v>
      </c>
      <c r="H33" s="67">
        <v>0.8</v>
      </c>
      <c r="I33" s="67">
        <v>0.8</v>
      </c>
    </row>
    <row r="34" spans="1:9" ht="20.25" customHeight="1" thickTop="1">
      <c r="A34" s="115"/>
      <c r="B34" s="115"/>
      <c r="C34" s="4"/>
      <c r="D34" s="195" t="s">
        <v>0</v>
      </c>
      <c r="E34" s="4"/>
      <c r="F34" s="4"/>
      <c r="G34" s="132" t="s">
        <v>65</v>
      </c>
      <c r="H34" s="321">
        <v>1.1499999999999999</v>
      </c>
      <c r="I34" s="321">
        <v>1.1000000000000001</v>
      </c>
    </row>
    <row r="35" spans="1:9" ht="20.25" customHeight="1">
      <c r="A35" s="115"/>
      <c r="B35" s="115"/>
      <c r="C35" s="4"/>
      <c r="D35" s="195" t="s">
        <v>0</v>
      </c>
      <c r="E35" s="4"/>
      <c r="F35" s="4"/>
      <c r="G35" s="132" t="s">
        <v>66</v>
      </c>
      <c r="H35" s="397">
        <v>0.75</v>
      </c>
      <c r="I35" s="397">
        <v>0.75</v>
      </c>
    </row>
    <row r="36" spans="1:9" ht="20.25" customHeight="1">
      <c r="A36" s="115"/>
      <c r="B36" s="115"/>
      <c r="C36" s="4"/>
      <c r="D36" s="196" t="s">
        <v>0</v>
      </c>
      <c r="E36" s="4"/>
      <c r="F36" s="4"/>
      <c r="G36" s="132" t="s">
        <v>18</v>
      </c>
      <c r="H36" s="197">
        <f>MEDIAN(H18:H33)</f>
        <v>0.875</v>
      </c>
      <c r="I36" s="197">
        <f>MEDIAN(I18:I33)</f>
        <v>0.9</v>
      </c>
    </row>
    <row r="37" spans="1:9" ht="20.25" customHeight="1">
      <c r="A37" s="115"/>
      <c r="B37" s="115"/>
      <c r="C37" s="4"/>
      <c r="D37" s="135" t="s">
        <v>0</v>
      </c>
      <c r="E37" s="4"/>
      <c r="F37" s="4"/>
      <c r="G37" s="132" t="s">
        <v>466</v>
      </c>
      <c r="H37" s="198">
        <f>AVERAGE(H18:H33)</f>
        <v>0.90937499999999993</v>
      </c>
      <c r="I37" s="198">
        <f>AVERAGE(I18:I33)</f>
        <v>0.90000000000000013</v>
      </c>
    </row>
    <row r="38" spans="1:9" ht="20.25" customHeight="1" thickBot="1">
      <c r="A38" s="13"/>
      <c r="B38" s="13"/>
      <c r="C38" s="13"/>
      <c r="D38" s="13"/>
      <c r="G38" s="13"/>
      <c r="H38" s="13"/>
      <c r="I38" s="13"/>
    </row>
    <row r="39" spans="1:9" ht="20.25" customHeight="1" thickBot="1">
      <c r="A39" s="13"/>
      <c r="B39" s="13"/>
      <c r="C39" s="13"/>
      <c r="D39" s="13"/>
      <c r="G39" s="13"/>
      <c r="H39" s="221" t="s">
        <v>109</v>
      </c>
      <c r="I39" s="328">
        <v>0.9</v>
      </c>
    </row>
    <row r="42" spans="1:9" ht="15.75">
      <c r="A42" s="115" t="s">
        <v>387</v>
      </c>
    </row>
    <row r="43" spans="1:9" ht="15.75">
      <c r="A43" s="115" t="s">
        <v>388</v>
      </c>
    </row>
  </sheetData>
  <pageMargins left="0.25" right="0.25" top="0.75" bottom="0.75" header="0.3" footer="0.3"/>
  <pageSetup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39"/>
  <sheetViews>
    <sheetView view="pageBreakPreview" zoomScale="60" zoomScaleNormal="80" workbookViewId="0">
      <selection activeCell="O10" sqref="O10"/>
    </sheetView>
  </sheetViews>
  <sheetFormatPr defaultRowHeight="15"/>
  <cols>
    <col min="1" max="1" width="50.42578125" customWidth="1"/>
    <col min="2" max="2" width="10.85546875" bestFit="1" customWidth="1"/>
    <col min="3" max="3" width="23.7109375"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5" t="s">
        <v>1</v>
      </c>
      <c r="B1" s="13"/>
      <c r="C1" s="13"/>
      <c r="D1" s="13"/>
      <c r="E1" s="13"/>
      <c r="F1" s="13"/>
      <c r="G1" s="13"/>
      <c r="H1" s="13"/>
      <c r="I1" s="13"/>
      <c r="J1" s="13"/>
    </row>
    <row r="2" spans="1:11" ht="15.75">
      <c r="A2" s="26" t="s">
        <v>9</v>
      </c>
      <c r="B2" s="13"/>
      <c r="C2" s="13"/>
      <c r="D2" s="13"/>
      <c r="E2" s="13"/>
      <c r="F2" s="13"/>
      <c r="G2" s="13"/>
      <c r="H2" s="13"/>
      <c r="I2" s="13"/>
      <c r="J2" s="13"/>
    </row>
    <row r="3" spans="1:11">
      <c r="A3" s="27" t="s">
        <v>97</v>
      </c>
      <c r="B3" s="13"/>
      <c r="C3" s="13"/>
      <c r="D3" s="13"/>
      <c r="E3" s="13"/>
      <c r="F3" s="13"/>
      <c r="G3" s="13"/>
      <c r="H3" s="13"/>
      <c r="I3" s="13"/>
      <c r="J3" s="13"/>
    </row>
    <row r="4" spans="1:11">
      <c r="A4" s="27"/>
      <c r="B4" s="13"/>
      <c r="C4" s="13"/>
      <c r="D4" s="13"/>
      <c r="E4" s="13"/>
      <c r="F4" s="13"/>
      <c r="G4" s="13"/>
      <c r="H4" s="13"/>
      <c r="I4" s="13"/>
      <c r="J4" s="13"/>
    </row>
    <row r="5" spans="1:11" ht="15.75" thickBot="1">
      <c r="A5" s="13"/>
      <c r="B5" s="13"/>
      <c r="C5" s="13"/>
      <c r="D5" s="13"/>
      <c r="E5" s="13"/>
      <c r="F5" s="13"/>
      <c r="G5" s="28"/>
      <c r="H5" s="13"/>
      <c r="I5" s="13"/>
      <c r="J5" s="13"/>
    </row>
    <row r="6" spans="1:11" ht="18.75" thickBot="1">
      <c r="A6" s="287" t="str">
        <f>+'S&amp;D'!A12</f>
        <v>Electric Utilities</v>
      </c>
      <c r="B6" s="215"/>
      <c r="C6" s="13"/>
      <c r="D6" s="30"/>
      <c r="E6" s="30"/>
      <c r="F6" s="31" t="s">
        <v>0</v>
      </c>
      <c r="G6" s="13"/>
      <c r="H6" s="13"/>
      <c r="I6" s="13"/>
      <c r="J6" s="13"/>
    </row>
    <row r="7" spans="1:11" ht="20.25">
      <c r="A7" s="32"/>
      <c r="B7" s="13"/>
      <c r="C7" s="13"/>
      <c r="D7" s="13"/>
      <c r="E7" s="33" t="s">
        <v>209</v>
      </c>
      <c r="F7" s="13"/>
      <c r="G7" s="13"/>
      <c r="H7" s="13"/>
      <c r="I7" s="13"/>
      <c r="J7" s="13"/>
    </row>
    <row r="8" spans="1:11" ht="18.75" thickBot="1">
      <c r="A8" s="32"/>
      <c r="B8" s="13"/>
      <c r="C8" s="13"/>
      <c r="D8" s="30"/>
      <c r="E8" s="34" t="s">
        <v>111</v>
      </c>
      <c r="F8" s="30"/>
      <c r="G8" s="13"/>
      <c r="H8" s="13"/>
      <c r="I8" s="13"/>
      <c r="J8" s="13"/>
    </row>
    <row r="9" spans="1:11" ht="15.75" thickBot="1">
      <c r="A9" s="35" t="s">
        <v>0</v>
      </c>
      <c r="B9" s="35" t="s">
        <v>0</v>
      </c>
      <c r="C9" s="35" t="s">
        <v>0</v>
      </c>
      <c r="D9" s="35" t="s">
        <v>0</v>
      </c>
      <c r="E9" s="35" t="s">
        <v>0</v>
      </c>
      <c r="F9" s="35"/>
      <c r="G9" s="30"/>
      <c r="H9" s="30"/>
      <c r="I9" s="30"/>
      <c r="J9" s="30"/>
      <c r="K9" s="167"/>
    </row>
    <row r="10" spans="1:11">
      <c r="A10" s="36" t="s">
        <v>0</v>
      </c>
      <c r="B10" s="36" t="s">
        <v>3</v>
      </c>
      <c r="C10" s="36" t="s">
        <v>5</v>
      </c>
      <c r="D10" s="36" t="s">
        <v>204</v>
      </c>
      <c r="E10" s="36" t="s">
        <v>205</v>
      </c>
      <c r="F10" s="36" t="s">
        <v>207</v>
      </c>
      <c r="G10" s="36" t="s">
        <v>205</v>
      </c>
      <c r="H10" s="36" t="s">
        <v>207</v>
      </c>
      <c r="I10" s="36" t="s">
        <v>205</v>
      </c>
      <c r="J10" s="36" t="s">
        <v>207</v>
      </c>
      <c r="K10" s="36" t="s">
        <v>324</v>
      </c>
    </row>
    <row r="11" spans="1:11">
      <c r="A11" s="36"/>
      <c r="B11" s="36" t="s">
        <v>4</v>
      </c>
      <c r="C11" s="36" t="s">
        <v>6</v>
      </c>
      <c r="D11" s="36" t="s">
        <v>28</v>
      </c>
      <c r="E11" s="36" t="s">
        <v>206</v>
      </c>
      <c r="F11" s="36" t="s">
        <v>157</v>
      </c>
      <c r="G11" s="36" t="s">
        <v>206</v>
      </c>
      <c r="H11" s="36" t="s">
        <v>157</v>
      </c>
      <c r="I11" s="36" t="s">
        <v>206</v>
      </c>
      <c r="J11" s="36" t="s">
        <v>157</v>
      </c>
      <c r="K11" s="36" t="s">
        <v>222</v>
      </c>
    </row>
    <row r="12" spans="1:11" ht="15.75" thickBot="1">
      <c r="A12" s="38" t="s">
        <v>2</v>
      </c>
      <c r="B12" s="38" t="s">
        <v>0</v>
      </c>
      <c r="C12" s="38" t="s">
        <v>0</v>
      </c>
      <c r="D12" s="38" t="s">
        <v>0</v>
      </c>
      <c r="E12" s="38" t="s">
        <v>208</v>
      </c>
      <c r="F12" s="38" t="s">
        <v>208</v>
      </c>
      <c r="G12" s="38" t="s">
        <v>322</v>
      </c>
      <c r="H12" s="38" t="s">
        <v>322</v>
      </c>
      <c r="I12" s="38" t="s">
        <v>323</v>
      </c>
      <c r="J12" s="38" t="s">
        <v>323</v>
      </c>
      <c r="K12" s="250" t="s">
        <v>325</v>
      </c>
    </row>
    <row r="13" spans="1:11">
      <c r="A13" s="40" t="s">
        <v>7</v>
      </c>
      <c r="B13" s="40" t="s">
        <v>7</v>
      </c>
      <c r="C13" s="40" t="s">
        <v>7</v>
      </c>
      <c r="D13" s="41" t="s">
        <v>150</v>
      </c>
      <c r="E13" s="40" t="s">
        <v>7</v>
      </c>
      <c r="F13" s="40" t="s">
        <v>0</v>
      </c>
      <c r="G13" s="40" t="s">
        <v>7</v>
      </c>
      <c r="H13" s="40" t="s">
        <v>0</v>
      </c>
      <c r="I13" s="40" t="s">
        <v>7</v>
      </c>
      <c r="J13" s="40" t="s">
        <v>0</v>
      </c>
      <c r="K13" s="40" t="s">
        <v>0</v>
      </c>
    </row>
    <row r="14" spans="1:11">
      <c r="A14" s="36"/>
      <c r="B14" s="36"/>
      <c r="C14" s="36"/>
      <c r="D14" s="36"/>
      <c r="E14" s="36"/>
      <c r="F14" s="36"/>
      <c r="G14" s="13"/>
      <c r="H14" s="13"/>
      <c r="I14" s="13"/>
      <c r="J14" s="13"/>
      <c r="K14" s="13"/>
    </row>
    <row r="15" spans="1:11">
      <c r="A15" s="13"/>
      <c r="B15" s="13"/>
      <c r="C15" s="13"/>
      <c r="D15" s="13"/>
      <c r="E15" s="13"/>
      <c r="F15" s="13"/>
      <c r="G15" s="13"/>
      <c r="H15" s="13"/>
      <c r="I15" s="13"/>
      <c r="J15" s="13"/>
      <c r="K15" s="13"/>
    </row>
    <row r="16" spans="1:11" ht="15.75">
      <c r="A16" s="65" t="str">
        <f>+'S&amp;D'!A22</f>
        <v>ALLETE Inc</v>
      </c>
      <c r="B16" s="93" t="str">
        <f>+'S&amp;D'!B22</f>
        <v>ALE</v>
      </c>
      <c r="C16" s="93" t="str">
        <f>+'S&amp;D'!C22</f>
        <v>Electric Utility - Cent</v>
      </c>
      <c r="D16" s="62">
        <f>+'S&amp;D'!G22</f>
        <v>64.510000000000005</v>
      </c>
      <c r="E16" s="64">
        <v>2.6</v>
      </c>
      <c r="F16" s="68">
        <f>+E16/D16</f>
        <v>4.0303828863742057E-2</v>
      </c>
      <c r="G16" s="64">
        <v>2.71</v>
      </c>
      <c r="H16" s="68">
        <f>+G16/D16</f>
        <v>4.2008990854131137E-2</v>
      </c>
      <c r="I16" s="64">
        <v>3</v>
      </c>
      <c r="J16" s="68">
        <f>+I16/D16</f>
        <v>4.6504417919702369E-2</v>
      </c>
      <c r="K16" s="249">
        <f>RATE(3,,-G16,I16)</f>
        <v>3.4468620355048073E-2</v>
      </c>
    </row>
    <row r="17" spans="1:11" ht="15.75">
      <c r="A17" s="65" t="str">
        <f>+'S&amp;D'!A23</f>
        <v>Alliant Energy</v>
      </c>
      <c r="B17" s="93" t="str">
        <f>+'S&amp;D'!B23</f>
        <v>LNT</v>
      </c>
      <c r="C17" s="93" t="str">
        <f>+'S&amp;D'!C23</f>
        <v>Electric Utility - Cent</v>
      </c>
      <c r="D17" s="62">
        <f>+'S&amp;D'!G23</f>
        <v>55.21</v>
      </c>
      <c r="E17" s="64">
        <v>1.71</v>
      </c>
      <c r="F17" s="68">
        <f t="shared" ref="F17:F31" si="0">+E17/D17</f>
        <v>3.0972649882267705E-2</v>
      </c>
      <c r="G17" s="64">
        <v>1.81</v>
      </c>
      <c r="H17" s="68">
        <f t="shared" ref="H17:H31" si="1">+G17/D17</f>
        <v>3.278391595725412E-2</v>
      </c>
      <c r="I17" s="64">
        <v>2.29</v>
      </c>
      <c r="J17" s="68">
        <f t="shared" ref="J17:J31" si="2">+I17/D17</f>
        <v>4.1477993117188916E-2</v>
      </c>
      <c r="K17" s="249">
        <f>RATE(3,,-G17,I17)</f>
        <v>8.1564197241792397E-2</v>
      </c>
    </row>
    <row r="18" spans="1:11" ht="15.75">
      <c r="A18" s="65" t="str">
        <f>+'S&amp;D'!A24</f>
        <v>AMEREN Corporation</v>
      </c>
      <c r="B18" s="93" t="str">
        <f>+'S&amp;D'!B24</f>
        <v>AEE</v>
      </c>
      <c r="C18" s="93" t="str">
        <f>+'S&amp;D'!C24</f>
        <v>Electric Utility - Cent</v>
      </c>
      <c r="D18" s="62">
        <f>+'S&amp;D'!G24</f>
        <v>88.92</v>
      </c>
      <c r="E18" s="64">
        <v>2.36</v>
      </c>
      <c r="F18" s="68">
        <f t="shared" si="0"/>
        <v>2.6540710751237064E-2</v>
      </c>
      <c r="G18" s="64">
        <v>2.52</v>
      </c>
      <c r="H18" s="68">
        <f t="shared" si="1"/>
        <v>2.8340080971659919E-2</v>
      </c>
      <c r="I18" s="64">
        <v>3.3</v>
      </c>
      <c r="J18" s="68">
        <f t="shared" si="2"/>
        <v>3.7112010796221319E-2</v>
      </c>
      <c r="K18" s="327">
        <f t="shared" ref="K18:K31" si="3">RATE(3,,-G18,I18)</f>
        <v>9.4051585121155371E-2</v>
      </c>
    </row>
    <row r="19" spans="1:11" ht="15.75">
      <c r="A19" s="65" t="str">
        <f>+'S&amp;D'!A25</f>
        <v>American Electric Power</v>
      </c>
      <c r="B19" s="93" t="str">
        <f>+'S&amp;D'!B25</f>
        <v>AEP</v>
      </c>
      <c r="C19" s="93" t="str">
        <f>+'S&amp;D'!C25</f>
        <v>Electric Utility - Cent</v>
      </c>
      <c r="D19" s="62">
        <f>+'S&amp;D'!G25</f>
        <v>94.95</v>
      </c>
      <c r="E19" s="64">
        <v>3.17</v>
      </c>
      <c r="F19" s="68">
        <f t="shared" si="0"/>
        <v>3.3385992627698785E-2</v>
      </c>
      <c r="G19" s="64">
        <v>3.35</v>
      </c>
      <c r="H19" s="68">
        <f t="shared" si="1"/>
        <v>3.5281727224855189E-2</v>
      </c>
      <c r="I19" s="64">
        <v>4.16</v>
      </c>
      <c r="J19" s="68">
        <f t="shared" si="2"/>
        <v>4.3812532912058978E-2</v>
      </c>
      <c r="K19" s="327">
        <f t="shared" si="3"/>
        <v>7.485407639658416E-2</v>
      </c>
    </row>
    <row r="20" spans="1:11" ht="15.75">
      <c r="A20" s="65" t="str">
        <f>+'S&amp;D'!A26</f>
        <v>Centerpoint Energy</v>
      </c>
      <c r="B20" s="93" t="str">
        <f>+'S&amp;D'!B26</f>
        <v>CNP</v>
      </c>
      <c r="C20" s="93" t="str">
        <f>+'S&amp;D'!C26</f>
        <v>Electric Utility - Cent</v>
      </c>
      <c r="D20" s="62">
        <f>+'S&amp;D'!G26</f>
        <v>29.99</v>
      </c>
      <c r="E20" s="64">
        <v>0.7</v>
      </c>
      <c r="F20" s="68">
        <f t="shared" si="0"/>
        <v>2.3341113704568189E-2</v>
      </c>
      <c r="G20" s="64">
        <v>0.77</v>
      </c>
      <c r="H20" s="68">
        <f t="shared" si="1"/>
        <v>2.567522507502501E-2</v>
      </c>
      <c r="I20" s="64">
        <v>0.95</v>
      </c>
      <c r="J20" s="68">
        <f t="shared" si="2"/>
        <v>3.1677225741913971E-2</v>
      </c>
      <c r="K20" s="327">
        <f t="shared" si="3"/>
        <v>7.253373218818028E-2</v>
      </c>
    </row>
    <row r="21" spans="1:11" ht="15.75">
      <c r="A21" s="65" t="str">
        <f>+'S&amp;D'!A27</f>
        <v>CMS Energy</v>
      </c>
      <c r="B21" s="93" t="str">
        <f>+'S&amp;D'!B27</f>
        <v>CMS</v>
      </c>
      <c r="C21" s="93" t="str">
        <f>+'S&amp;D'!C27</f>
        <v>Electric Utility - Cent</v>
      </c>
      <c r="D21" s="62">
        <f>+'S&amp;D'!G27</f>
        <v>63.33</v>
      </c>
      <c r="E21" s="64">
        <v>1.84</v>
      </c>
      <c r="F21" s="68">
        <f t="shared" si="0"/>
        <v>2.9054160745302385E-2</v>
      </c>
      <c r="G21" s="64">
        <v>1.95</v>
      </c>
      <c r="H21" s="68">
        <f t="shared" si="1"/>
        <v>3.0791094268119375E-2</v>
      </c>
      <c r="I21" s="64">
        <v>2.2999999999999998</v>
      </c>
      <c r="J21" s="68">
        <f t="shared" si="2"/>
        <v>3.6317700931627978E-2</v>
      </c>
      <c r="K21" s="327">
        <f t="shared" si="3"/>
        <v>5.6568701546746411E-2</v>
      </c>
    </row>
    <row r="22" spans="1:11" ht="15.75">
      <c r="A22" s="65" t="str">
        <f>+'S&amp;D'!A28</f>
        <v>DTE Energy</v>
      </c>
      <c r="B22" s="93" t="str">
        <f>+'S&amp;D'!B28</f>
        <v>DTE</v>
      </c>
      <c r="C22" s="93" t="str">
        <f>+'S&amp;D'!C28</f>
        <v>Electric Utility - Cent</v>
      </c>
      <c r="D22" s="62">
        <f>+'S&amp;D'!G28</f>
        <v>117.53</v>
      </c>
      <c r="E22" s="64">
        <v>3.54</v>
      </c>
      <c r="F22" s="68">
        <f t="shared" si="0"/>
        <v>3.0119969369522676E-2</v>
      </c>
      <c r="G22" s="64">
        <v>3.81</v>
      </c>
      <c r="H22" s="68">
        <f t="shared" si="1"/>
        <v>3.2417255168893051E-2</v>
      </c>
      <c r="I22" s="64">
        <v>4.6500000000000004</v>
      </c>
      <c r="J22" s="68">
        <f t="shared" si="2"/>
        <v>3.9564366544711994E-2</v>
      </c>
      <c r="K22" s="327">
        <f t="shared" si="3"/>
        <v>6.8667640544659583E-2</v>
      </c>
    </row>
    <row r="23" spans="1:11" ht="15.75">
      <c r="A23" s="65" t="str">
        <f>+'S&amp;D'!A29</f>
        <v>Duke Energy</v>
      </c>
      <c r="B23" s="93" t="str">
        <f>+'S&amp;D'!B29</f>
        <v>DUK</v>
      </c>
      <c r="C23" s="93" t="str">
        <f>+'S&amp;D'!C29</f>
        <v>Electric Utility - East</v>
      </c>
      <c r="D23" s="62">
        <f>+'S&amp;D'!G29</f>
        <v>102.99</v>
      </c>
      <c r="E23" s="64">
        <v>3.98</v>
      </c>
      <c r="F23" s="68">
        <f t="shared" si="0"/>
        <v>3.8644528595009227E-2</v>
      </c>
      <c r="G23" s="64">
        <v>4.0599999999999996</v>
      </c>
      <c r="H23" s="68">
        <f t="shared" si="1"/>
        <v>3.942130303913001E-2</v>
      </c>
      <c r="I23" s="64">
        <v>4.3</v>
      </c>
      <c r="J23" s="68">
        <f t="shared" si="2"/>
        <v>4.1751626371492379E-2</v>
      </c>
      <c r="K23" s="327">
        <f t="shared" si="3"/>
        <v>1.9328438020403581E-2</v>
      </c>
    </row>
    <row r="24" spans="1:11" ht="15.75">
      <c r="A24" s="65" t="str">
        <f>+'S&amp;D'!A30</f>
        <v>Entergy Corp</v>
      </c>
      <c r="B24" s="93" t="str">
        <f>+'S&amp;D'!B30</f>
        <v>ETR</v>
      </c>
      <c r="C24" s="93" t="str">
        <f>+'S&amp;D'!C30</f>
        <v>Electric Utility - Cent</v>
      </c>
      <c r="D24" s="62">
        <f>+'S&amp;D'!G30</f>
        <v>112.5</v>
      </c>
      <c r="E24" s="64">
        <v>4.0999999999999996</v>
      </c>
      <c r="F24" s="68">
        <f t="shared" si="0"/>
        <v>3.6444444444444439E-2</v>
      </c>
      <c r="G24" s="64">
        <v>4.3</v>
      </c>
      <c r="H24" s="68">
        <f t="shared" si="1"/>
        <v>3.822222222222222E-2</v>
      </c>
      <c r="I24" s="64">
        <v>5</v>
      </c>
      <c r="J24" s="68">
        <f t="shared" si="2"/>
        <v>4.4444444444444446E-2</v>
      </c>
      <c r="K24" s="327">
        <f t="shared" si="3"/>
        <v>5.1559495992220462E-2</v>
      </c>
    </row>
    <row r="25" spans="1:11" ht="15.75">
      <c r="A25" s="65" t="str">
        <f>+'S&amp;D'!A31</f>
        <v>Evergy Inc</v>
      </c>
      <c r="B25" s="93" t="str">
        <f>+'S&amp;D'!B31</f>
        <v>EVRG</v>
      </c>
      <c r="C25" s="93" t="str">
        <f>+'S&amp;D'!C31</f>
        <v>Electric Utility - Cent</v>
      </c>
      <c r="D25" s="62">
        <f>+'S&amp;D'!G31</f>
        <v>62.93</v>
      </c>
      <c r="E25" s="64">
        <v>2.33</v>
      </c>
      <c r="F25" s="68">
        <f t="shared" si="0"/>
        <v>3.7025266168758939E-2</v>
      </c>
      <c r="G25" s="64">
        <v>2.5299999999999998</v>
      </c>
      <c r="H25" s="68">
        <f t="shared" si="1"/>
        <v>4.0203400603845536E-2</v>
      </c>
      <c r="I25" s="64">
        <v>3.05</v>
      </c>
      <c r="J25" s="68">
        <f t="shared" si="2"/>
        <v>4.8466550135070709E-2</v>
      </c>
      <c r="K25" s="327">
        <f t="shared" si="3"/>
        <v>6.4289488205572648E-2</v>
      </c>
    </row>
    <row r="26" spans="1:11" ht="15.75">
      <c r="A26" s="65" t="str">
        <f>+'S&amp;D'!A32</f>
        <v>FirstEnergy Corp</v>
      </c>
      <c r="B26" s="93" t="str">
        <f>+'S&amp;D'!B32</f>
        <v>FE</v>
      </c>
      <c r="C26" s="93" t="str">
        <f>+'S&amp;D'!C32</f>
        <v>Electric Utility - East</v>
      </c>
      <c r="D26" s="62">
        <f>+'S&amp;D'!G32</f>
        <v>41.94</v>
      </c>
      <c r="E26" s="64">
        <v>1.56</v>
      </c>
      <c r="F26" s="68">
        <f t="shared" si="0"/>
        <v>3.7195994277539342E-2</v>
      </c>
      <c r="G26" s="64">
        <v>1.56</v>
      </c>
      <c r="H26" s="68">
        <f t="shared" si="1"/>
        <v>3.7195994277539342E-2</v>
      </c>
      <c r="I26" s="64">
        <v>1.92</v>
      </c>
      <c r="J26" s="68">
        <f t="shared" si="2"/>
        <v>4.5779685264663805E-2</v>
      </c>
      <c r="K26" s="327">
        <f t="shared" si="3"/>
        <v>7.166457967451241E-2</v>
      </c>
    </row>
    <row r="27" spans="1:11" ht="15.75">
      <c r="A27" s="65" t="str">
        <f>+'S&amp;D'!A33</f>
        <v>OGE Energy Corp.</v>
      </c>
      <c r="B27" s="93" t="str">
        <f>+'S&amp;D'!B33</f>
        <v>OGE</v>
      </c>
      <c r="C27" s="93" t="str">
        <f>+'S&amp;D'!C33</f>
        <v>Electric Utility - Cent</v>
      </c>
      <c r="D27" s="62">
        <f>+'S&amp;D'!G33</f>
        <v>39.549999999999997</v>
      </c>
      <c r="E27" s="64">
        <v>1.64</v>
      </c>
      <c r="F27" s="68">
        <f t="shared" si="0"/>
        <v>4.1466498103666247E-2</v>
      </c>
      <c r="G27" s="64">
        <v>1.7</v>
      </c>
      <c r="H27" s="68">
        <f t="shared" si="1"/>
        <v>4.2983565107458918E-2</v>
      </c>
      <c r="I27" s="64">
        <v>1.85</v>
      </c>
      <c r="J27" s="68">
        <f t="shared" si="2"/>
        <v>4.677623261694059E-2</v>
      </c>
      <c r="K27" s="327">
        <f t="shared" si="3"/>
        <v>2.8586773986917936E-2</v>
      </c>
    </row>
    <row r="28" spans="1:11" ht="15.75">
      <c r="A28" s="65" t="str">
        <f>+'S&amp;D'!A34</f>
        <v>Otter Tail Corp</v>
      </c>
      <c r="B28" s="93" t="str">
        <f>+'S&amp;D'!B34</f>
        <v>OTTR</v>
      </c>
      <c r="C28" s="93" t="str">
        <f>+'S&amp;D'!C34</f>
        <v>Electric Utility - Cent</v>
      </c>
      <c r="D28" s="62">
        <f>+'S&amp;D'!G34</f>
        <v>58.71</v>
      </c>
      <c r="E28" s="64">
        <v>1.65</v>
      </c>
      <c r="F28" s="68">
        <f t="shared" si="0"/>
        <v>2.8104241185487992E-2</v>
      </c>
      <c r="G28" s="64">
        <v>1.76</v>
      </c>
      <c r="H28" s="68">
        <f t="shared" si="1"/>
        <v>2.9977857264520524E-2</v>
      </c>
      <c r="I28" s="64">
        <v>2.2000000000000002</v>
      </c>
      <c r="J28" s="68">
        <f t="shared" si="2"/>
        <v>3.7472321580650655E-2</v>
      </c>
      <c r="K28" s="327">
        <f t="shared" si="3"/>
        <v>7.7217345015989577E-2</v>
      </c>
    </row>
    <row r="29" spans="1:11" ht="15.75">
      <c r="A29" s="65" t="str">
        <f>+'S&amp;D'!A35</f>
        <v>PPL Corporation</v>
      </c>
      <c r="B29" s="93" t="str">
        <f>+'S&amp;D'!B35</f>
        <v>PPL</v>
      </c>
      <c r="C29" s="93" t="str">
        <f>+'S&amp;D'!C35</f>
        <v>Electric Utility - East</v>
      </c>
      <c r="D29" s="62">
        <f>+'S&amp;D'!G35</f>
        <v>29.22</v>
      </c>
      <c r="E29" s="64">
        <v>1.07</v>
      </c>
      <c r="F29" s="68">
        <f t="shared" si="0"/>
        <v>3.6618754277891859E-2</v>
      </c>
      <c r="G29" s="64">
        <v>0.96</v>
      </c>
      <c r="H29" s="68">
        <f t="shared" si="1"/>
        <v>3.2854209445585217E-2</v>
      </c>
      <c r="I29" s="64">
        <v>1.26</v>
      </c>
      <c r="J29" s="68">
        <f t="shared" si="2"/>
        <v>4.3121149897330596E-2</v>
      </c>
      <c r="K29" s="327">
        <f t="shared" si="3"/>
        <v>9.4879784971972331E-2</v>
      </c>
    </row>
    <row r="30" spans="1:11" ht="15.75">
      <c r="A30" s="65" t="str">
        <f>+'S&amp;D'!A36</f>
        <v>The Southern Company</v>
      </c>
      <c r="B30" s="93" t="str">
        <f>+'S&amp;D'!B36</f>
        <v>SO</v>
      </c>
      <c r="C30" s="93" t="str">
        <f>+'S&amp;D'!C36</f>
        <v>Electric Utility - East</v>
      </c>
      <c r="D30" s="62">
        <f>+'S&amp;D'!G36</f>
        <v>71.41</v>
      </c>
      <c r="E30" s="64">
        <v>2.7</v>
      </c>
      <c r="F30" s="68">
        <f t="shared" si="0"/>
        <v>3.780983055594455E-2</v>
      </c>
      <c r="G30" s="64">
        <v>2.78</v>
      </c>
      <c r="H30" s="68">
        <f t="shared" si="1"/>
        <v>3.8930121831676233E-2</v>
      </c>
      <c r="I30" s="64">
        <v>3.1</v>
      </c>
      <c r="J30" s="68">
        <f t="shared" si="2"/>
        <v>4.3411286934602999E-2</v>
      </c>
      <c r="K30" s="249">
        <f t="shared" si="3"/>
        <v>3.6984582014651095E-2</v>
      </c>
    </row>
    <row r="31" spans="1:11" ht="15.75">
      <c r="A31" s="65" t="str">
        <f>+'S&amp;D'!A37</f>
        <v>WEC Energy Group</v>
      </c>
      <c r="B31" s="93" t="str">
        <f>+'S&amp;D'!B37</f>
        <v>WEC</v>
      </c>
      <c r="C31" s="93" t="str">
        <f>+'S&amp;D'!C37</f>
        <v>Electric Utility - Cent</v>
      </c>
      <c r="D31" s="62">
        <f>+'S&amp;D'!G37</f>
        <v>93.76</v>
      </c>
      <c r="E31" s="64">
        <v>2.91</v>
      </c>
      <c r="F31" s="68">
        <f t="shared" si="0"/>
        <v>3.1036689419795222E-2</v>
      </c>
      <c r="G31" s="64">
        <v>3.12</v>
      </c>
      <c r="H31" s="68">
        <f t="shared" si="1"/>
        <v>3.3276450511945395E-2</v>
      </c>
      <c r="I31" s="64">
        <v>3.8</v>
      </c>
      <c r="J31" s="68">
        <f t="shared" si="2"/>
        <v>4.0529010238907849E-2</v>
      </c>
      <c r="K31" s="249">
        <f t="shared" si="3"/>
        <v>6.7930526474138844E-2</v>
      </c>
    </row>
    <row r="32" spans="1:11" ht="15.75" thickBot="1">
      <c r="A32" s="13"/>
      <c r="B32" s="13"/>
      <c r="C32" s="45"/>
      <c r="D32" s="48"/>
      <c r="E32" s="48"/>
      <c r="F32" s="48"/>
      <c r="G32" s="48"/>
      <c r="H32" s="48"/>
      <c r="I32" s="48"/>
      <c r="J32" s="48"/>
      <c r="K32" s="48"/>
    </row>
    <row r="33" spans="1:11" ht="15.75" thickTop="1">
      <c r="A33" s="13"/>
      <c r="B33" s="13"/>
      <c r="D33" s="15" t="s">
        <v>65</v>
      </c>
      <c r="E33" s="17">
        <v>4.0999999999999996</v>
      </c>
      <c r="F33" s="323">
        <v>4.1500000000000002E-2</v>
      </c>
      <c r="G33" s="17">
        <v>4.3</v>
      </c>
      <c r="H33" s="323">
        <v>4.2999999999999997E-2</v>
      </c>
      <c r="I33" s="17">
        <v>5</v>
      </c>
      <c r="J33" s="323">
        <v>4.8500000000000001E-2</v>
      </c>
      <c r="K33" s="323">
        <v>9.4899999999999998E-2</v>
      </c>
    </row>
    <row r="34" spans="1:11">
      <c r="A34" s="13"/>
      <c r="B34" s="13"/>
      <c r="D34" s="15" t="s">
        <v>66</v>
      </c>
      <c r="E34" s="329">
        <v>0.7</v>
      </c>
      <c r="F34" s="324">
        <v>2.3300000000000001E-2</v>
      </c>
      <c r="G34" s="329">
        <v>0.77</v>
      </c>
      <c r="H34" s="324">
        <v>2.5700000000000001E-2</v>
      </c>
      <c r="I34" s="329">
        <v>0.95</v>
      </c>
      <c r="J34" s="324">
        <v>3.1699999999999999E-2</v>
      </c>
      <c r="K34" s="324">
        <v>1.9300000000000001E-2</v>
      </c>
    </row>
    <row r="35" spans="1:11">
      <c r="A35" s="13"/>
      <c r="B35" s="13"/>
      <c r="D35" s="15" t="s">
        <v>18</v>
      </c>
      <c r="E35" s="18">
        <f t="shared" ref="E35:K35" si="4">MEDIAN(E16:E31)</f>
        <v>2.3449999999999998</v>
      </c>
      <c r="F35" s="57">
        <f t="shared" si="4"/>
        <v>3.4915218536071616E-2</v>
      </c>
      <c r="G35" s="18">
        <f t="shared" si="4"/>
        <v>2.5249999999999999</v>
      </c>
      <c r="H35" s="57">
        <f t="shared" si="4"/>
        <v>3.4279088868400295E-2</v>
      </c>
      <c r="I35" s="18">
        <f t="shared" si="4"/>
        <v>3.0249999999999999</v>
      </c>
      <c r="J35" s="57">
        <f t="shared" si="4"/>
        <v>4.2436388134411487E-2</v>
      </c>
      <c r="K35" s="57">
        <f t="shared" si="4"/>
        <v>6.8299083509399214E-2</v>
      </c>
    </row>
    <row r="36" spans="1:11">
      <c r="A36" s="13"/>
      <c r="B36" s="13"/>
      <c r="D36" s="15" t="s">
        <v>466</v>
      </c>
      <c r="E36" s="22">
        <f t="shared" ref="E36:K36" si="5">AVERAGE(E16:E31)</f>
        <v>2.36625</v>
      </c>
      <c r="F36" s="59">
        <f t="shared" si="5"/>
        <v>3.362904206080479E-2</v>
      </c>
      <c r="G36" s="22">
        <f t="shared" si="5"/>
        <v>2.4806249999999999</v>
      </c>
      <c r="H36" s="59">
        <f t="shared" si="5"/>
        <v>3.502271336399132E-2</v>
      </c>
      <c r="I36" s="22">
        <f t="shared" si="5"/>
        <v>2.9456250000000002</v>
      </c>
      <c r="J36" s="59">
        <f t="shared" si="5"/>
        <v>4.1763659715470601E-2</v>
      </c>
      <c r="K36" s="59">
        <f t="shared" si="5"/>
        <v>6.2196847984409068E-2</v>
      </c>
    </row>
    <row r="37" spans="1:11">
      <c r="A37" s="13"/>
      <c r="B37" s="13"/>
      <c r="C37" s="13"/>
      <c r="D37" s="13"/>
      <c r="E37" s="13"/>
      <c r="F37" s="13"/>
      <c r="G37" s="13"/>
      <c r="H37" s="13"/>
      <c r="I37" s="13"/>
      <c r="J37" s="13"/>
      <c r="K37" s="13"/>
    </row>
    <row r="38" spans="1:11" ht="20.25">
      <c r="A38" s="13"/>
      <c r="B38" s="13"/>
      <c r="C38" s="13"/>
      <c r="D38" s="13"/>
      <c r="E38" s="13"/>
      <c r="F38" s="51" t="s">
        <v>0</v>
      </c>
      <c r="G38" s="66" t="s">
        <v>0</v>
      </c>
      <c r="H38" s="13"/>
      <c r="I38" s="13"/>
      <c r="J38" s="13"/>
      <c r="K38" s="13"/>
    </row>
    <row r="39" spans="1:11" ht="18.75">
      <c r="A39" s="251" t="s">
        <v>326</v>
      </c>
    </row>
  </sheetData>
  <pageMargins left="0.25" right="0.25" top="0.75" bottom="0.75" header="0.3" footer="0.3"/>
  <pageSetup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39"/>
  <sheetViews>
    <sheetView view="pageBreakPreview" zoomScale="60" zoomScaleNormal="80" workbookViewId="0">
      <selection activeCell="I4" sqref="I4"/>
    </sheetView>
  </sheetViews>
  <sheetFormatPr defaultRowHeight="15"/>
  <cols>
    <col min="1" max="1" width="51.5703125" customWidth="1"/>
    <col min="2" max="2" width="10.85546875" bestFit="1" customWidth="1"/>
    <col min="3" max="3" width="23.7109375"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5" t="s">
        <v>1</v>
      </c>
      <c r="B1" s="13"/>
      <c r="C1" s="13"/>
      <c r="D1" s="13"/>
      <c r="E1" s="13"/>
      <c r="F1" s="13"/>
      <c r="G1" s="13"/>
      <c r="H1" s="13"/>
      <c r="I1" s="13"/>
      <c r="J1" s="13"/>
    </row>
    <row r="2" spans="1:11" ht="15.75">
      <c r="A2" s="26" t="s">
        <v>9</v>
      </c>
      <c r="B2" s="13"/>
      <c r="C2" s="13"/>
      <c r="D2" s="13"/>
      <c r="E2" s="13"/>
      <c r="F2" s="13"/>
      <c r="G2" s="13"/>
      <c r="H2" s="13"/>
      <c r="I2" s="13"/>
      <c r="J2" s="13"/>
    </row>
    <row r="3" spans="1:11">
      <c r="A3" s="27" t="s">
        <v>97</v>
      </c>
      <c r="B3" s="13"/>
      <c r="C3" s="13"/>
      <c r="D3" s="13"/>
      <c r="E3" s="13"/>
      <c r="F3" s="13"/>
      <c r="G3" s="13"/>
      <c r="H3" s="13"/>
      <c r="I3" s="13"/>
      <c r="J3" s="13"/>
    </row>
    <row r="4" spans="1:11">
      <c r="A4" s="27"/>
      <c r="B4" s="13"/>
      <c r="C4" s="13"/>
      <c r="D4" s="13"/>
      <c r="E4" s="13"/>
      <c r="F4" s="13"/>
      <c r="G4" s="13"/>
      <c r="H4" s="13"/>
      <c r="I4" s="13"/>
      <c r="J4" s="13"/>
    </row>
    <row r="5" spans="1:11" ht="15.75" thickBot="1">
      <c r="A5" s="13"/>
      <c r="B5" s="13"/>
      <c r="C5" s="13"/>
      <c r="D5" s="13"/>
      <c r="E5" s="13"/>
      <c r="F5" s="13"/>
      <c r="G5" s="28"/>
      <c r="H5" s="13"/>
      <c r="I5" s="13"/>
      <c r="J5" s="13"/>
    </row>
    <row r="6" spans="1:11" ht="18.75" thickBot="1">
      <c r="A6" s="287" t="str">
        <f>+'S&amp;D'!A12</f>
        <v>Electric Utilities</v>
      </c>
      <c r="B6" s="215"/>
      <c r="C6" s="13"/>
      <c r="D6" s="30"/>
      <c r="E6" s="30"/>
      <c r="F6" s="31" t="s">
        <v>0</v>
      </c>
      <c r="G6" s="13"/>
      <c r="H6" s="13"/>
      <c r="I6" s="13"/>
      <c r="J6" s="13"/>
    </row>
    <row r="7" spans="1:11" ht="20.25">
      <c r="A7" s="32"/>
      <c r="B7" s="13"/>
      <c r="C7" s="13"/>
      <c r="D7" s="13"/>
      <c r="E7" s="33" t="s">
        <v>327</v>
      </c>
      <c r="F7" s="13"/>
      <c r="G7" s="13"/>
      <c r="H7" s="13"/>
      <c r="I7" s="13"/>
      <c r="J7" s="13"/>
    </row>
    <row r="8" spans="1:11" ht="18.75" thickBot="1">
      <c r="A8" s="32"/>
      <c r="B8" s="13"/>
      <c r="C8" s="13"/>
      <c r="D8" s="30"/>
      <c r="E8" s="34" t="s">
        <v>111</v>
      </c>
      <c r="F8" s="30"/>
      <c r="G8" s="13"/>
      <c r="H8" s="13"/>
      <c r="I8" s="13"/>
      <c r="J8" s="13"/>
    </row>
    <row r="9" spans="1:11" ht="15.75" thickBot="1">
      <c r="A9" s="35" t="s">
        <v>0</v>
      </c>
      <c r="B9" s="35" t="s">
        <v>0</v>
      </c>
      <c r="C9" s="35" t="s">
        <v>0</v>
      </c>
      <c r="D9" s="35" t="s">
        <v>0</v>
      </c>
      <c r="E9" s="35" t="s">
        <v>0</v>
      </c>
      <c r="F9" s="35"/>
      <c r="G9" s="30"/>
      <c r="H9" s="30"/>
      <c r="I9" s="30"/>
      <c r="J9" s="30"/>
      <c r="K9" s="167"/>
    </row>
    <row r="10" spans="1:11">
      <c r="A10" s="36" t="s">
        <v>0</v>
      </c>
      <c r="B10" s="36" t="s">
        <v>3</v>
      </c>
      <c r="C10" s="36" t="s">
        <v>5</v>
      </c>
      <c r="D10" s="36" t="s">
        <v>204</v>
      </c>
      <c r="E10" s="36" t="s">
        <v>211</v>
      </c>
      <c r="F10" s="36" t="s">
        <v>211</v>
      </c>
      <c r="G10" s="36" t="s">
        <v>211</v>
      </c>
      <c r="H10" s="36" t="s">
        <v>211</v>
      </c>
      <c r="I10" s="36" t="s">
        <v>211</v>
      </c>
      <c r="J10" s="36" t="s">
        <v>211</v>
      </c>
      <c r="K10" s="36" t="s">
        <v>324</v>
      </c>
    </row>
    <row r="11" spans="1:11">
      <c r="A11" s="36"/>
      <c r="B11" s="36" t="s">
        <v>4</v>
      </c>
      <c r="C11" s="36" t="s">
        <v>6</v>
      </c>
      <c r="D11" s="36" t="s">
        <v>28</v>
      </c>
      <c r="E11" s="36" t="s">
        <v>206</v>
      </c>
      <c r="F11" s="36" t="s">
        <v>157</v>
      </c>
      <c r="G11" s="36" t="s">
        <v>206</v>
      </c>
      <c r="H11" s="36" t="s">
        <v>157</v>
      </c>
      <c r="I11" s="36" t="s">
        <v>206</v>
      </c>
      <c r="J11" s="36" t="s">
        <v>157</v>
      </c>
      <c r="K11" s="36" t="s">
        <v>222</v>
      </c>
    </row>
    <row r="12" spans="1:11" ht="15.75" thickBot="1">
      <c r="A12" s="38" t="s">
        <v>2</v>
      </c>
      <c r="B12" s="38" t="s">
        <v>0</v>
      </c>
      <c r="C12" s="38" t="s">
        <v>0</v>
      </c>
      <c r="D12" s="38" t="s">
        <v>0</v>
      </c>
      <c r="E12" s="38" t="s">
        <v>208</v>
      </c>
      <c r="F12" s="38" t="s">
        <v>208</v>
      </c>
      <c r="G12" s="38" t="s">
        <v>322</v>
      </c>
      <c r="H12" s="38" t="s">
        <v>322</v>
      </c>
      <c r="I12" s="38" t="s">
        <v>323</v>
      </c>
      <c r="J12" s="38" t="s">
        <v>323</v>
      </c>
      <c r="K12" s="250" t="s">
        <v>325</v>
      </c>
    </row>
    <row r="13" spans="1:11">
      <c r="A13" s="40" t="s">
        <v>7</v>
      </c>
      <c r="B13" s="40" t="s">
        <v>7</v>
      </c>
      <c r="C13" s="40" t="s">
        <v>7</v>
      </c>
      <c r="D13" s="41" t="s">
        <v>150</v>
      </c>
      <c r="E13" s="40" t="s">
        <v>7</v>
      </c>
      <c r="F13" s="40" t="s">
        <v>0</v>
      </c>
      <c r="G13" s="40" t="s">
        <v>7</v>
      </c>
      <c r="H13" s="40" t="s">
        <v>0</v>
      </c>
      <c r="I13" s="40" t="s">
        <v>7</v>
      </c>
      <c r="J13" s="40" t="s">
        <v>0</v>
      </c>
      <c r="K13" s="40" t="s">
        <v>0</v>
      </c>
    </row>
    <row r="14" spans="1:11">
      <c r="A14" s="36"/>
      <c r="B14" s="36"/>
      <c r="C14" s="36"/>
      <c r="D14" s="36"/>
      <c r="E14" s="36"/>
      <c r="F14" s="36"/>
      <c r="G14" s="13"/>
      <c r="H14" s="13"/>
      <c r="I14" s="13"/>
      <c r="J14" s="13"/>
      <c r="K14" s="13"/>
    </row>
    <row r="15" spans="1:11">
      <c r="A15" s="13"/>
      <c r="B15" s="13"/>
      <c r="C15" s="13"/>
      <c r="D15" s="13"/>
      <c r="E15" s="13"/>
      <c r="F15" s="13"/>
      <c r="G15" s="13"/>
      <c r="H15" s="13"/>
      <c r="I15" s="13"/>
      <c r="J15" s="13"/>
      <c r="K15" s="13"/>
    </row>
    <row r="16" spans="1:11" ht="15.75">
      <c r="A16" s="65" t="str">
        <f>+'S&amp;D'!A22</f>
        <v>ALLETE Inc</v>
      </c>
      <c r="B16" s="93" t="str">
        <f>+'S&amp;D'!B22</f>
        <v>ALE</v>
      </c>
      <c r="C16" s="93" t="str">
        <f>+'S&amp;D'!C22</f>
        <v>Electric Utility - Cent</v>
      </c>
      <c r="D16" s="62">
        <f>+'S&amp;D'!G22</f>
        <v>64.510000000000005</v>
      </c>
      <c r="E16" s="64">
        <v>3.38</v>
      </c>
      <c r="F16" s="68">
        <f>+E16/D16</f>
        <v>5.2394977522864664E-2</v>
      </c>
      <c r="G16" s="64">
        <v>3.85</v>
      </c>
      <c r="H16" s="68">
        <f>+G16/D16</f>
        <v>5.9680669663618041E-2</v>
      </c>
      <c r="I16" s="64">
        <v>5</v>
      </c>
      <c r="J16" s="68">
        <f>+I16/D16</f>
        <v>7.7507363199503951E-2</v>
      </c>
      <c r="K16" s="327">
        <f t="shared" ref="K16:K31" si="0">RATE(3,,-G16,I16)</f>
        <v>9.1029327776691857E-2</v>
      </c>
    </row>
    <row r="17" spans="1:11" ht="15.75">
      <c r="A17" s="65" t="str">
        <f>+'S&amp;D'!A23</f>
        <v>Alliant Energy</v>
      </c>
      <c r="B17" s="93" t="str">
        <f>+'S&amp;D'!B23</f>
        <v>LNT</v>
      </c>
      <c r="C17" s="93" t="str">
        <f>+'S&amp;D'!C23</f>
        <v>Electric Utility - Cent</v>
      </c>
      <c r="D17" s="62">
        <f>+'S&amp;D'!G23</f>
        <v>55.21</v>
      </c>
      <c r="E17" s="64">
        <v>2.73</v>
      </c>
      <c r="F17" s="68">
        <f t="shared" ref="F17:F31" si="1">+E17/D17</f>
        <v>4.9447563847129145E-2</v>
      </c>
      <c r="G17" s="64">
        <v>2.9</v>
      </c>
      <c r="H17" s="68">
        <f t="shared" ref="H17:H31" si="2">+G17/D17</f>
        <v>5.2526716174606046E-2</v>
      </c>
      <c r="I17" s="64">
        <v>3.8</v>
      </c>
      <c r="J17" s="68">
        <f t="shared" ref="J17:J31" si="3">+I17/D17</f>
        <v>6.8828110849483787E-2</v>
      </c>
      <c r="K17" s="327">
        <f t="shared" si="0"/>
        <v>9.4280179274302059E-2</v>
      </c>
    </row>
    <row r="18" spans="1:11" ht="15.75">
      <c r="A18" s="65" t="str">
        <f>+'S&amp;D'!A24</f>
        <v>AMEREN Corporation</v>
      </c>
      <c r="B18" s="93" t="str">
        <f>+'S&amp;D'!B24</f>
        <v>AEE</v>
      </c>
      <c r="C18" s="93" t="str">
        <f>+'S&amp;D'!C24</f>
        <v>Electric Utility - Cent</v>
      </c>
      <c r="D18" s="62">
        <f>+'S&amp;D'!G24</f>
        <v>88.92</v>
      </c>
      <c r="E18" s="64">
        <v>4.1399999999999997</v>
      </c>
      <c r="F18" s="68">
        <f t="shared" si="1"/>
        <v>4.6558704453441291E-2</v>
      </c>
      <c r="G18" s="64">
        <v>4.45</v>
      </c>
      <c r="H18" s="68">
        <f t="shared" si="2"/>
        <v>5.0044984255510572E-2</v>
      </c>
      <c r="I18" s="64">
        <v>5.5</v>
      </c>
      <c r="J18" s="68">
        <f t="shared" si="3"/>
        <v>6.1853351327035538E-2</v>
      </c>
      <c r="K18" s="327">
        <f t="shared" si="0"/>
        <v>7.3167617520221204E-2</v>
      </c>
    </row>
    <row r="19" spans="1:11" ht="15.75">
      <c r="A19" s="65" t="str">
        <f>+'S&amp;D'!A25</f>
        <v>American Electric Power</v>
      </c>
      <c r="B19" s="93" t="str">
        <f>+'S&amp;D'!B25</f>
        <v>AEP</v>
      </c>
      <c r="C19" s="93" t="str">
        <f>+'S&amp;D'!C25</f>
        <v>Electric Utility - Cent</v>
      </c>
      <c r="D19" s="62">
        <f>+'S&amp;D'!G25</f>
        <v>94.95</v>
      </c>
      <c r="E19" s="64">
        <v>4.51</v>
      </c>
      <c r="F19" s="68">
        <f t="shared" si="1"/>
        <v>4.7498683517640861E-2</v>
      </c>
      <c r="G19" s="64">
        <v>5.35</v>
      </c>
      <c r="H19" s="68">
        <f t="shared" si="2"/>
        <v>5.6345444971037384E-2</v>
      </c>
      <c r="I19" s="64">
        <v>6.8</v>
      </c>
      <c r="J19" s="68">
        <f t="shared" si="3"/>
        <v>7.1616640337019477E-2</v>
      </c>
      <c r="K19" s="327">
        <f t="shared" si="0"/>
        <v>8.3224257360890647E-2</v>
      </c>
    </row>
    <row r="20" spans="1:11" ht="15.75">
      <c r="A20" s="65" t="str">
        <f>+'S&amp;D'!A26</f>
        <v>Centerpoint Energy</v>
      </c>
      <c r="B20" s="93" t="str">
        <f>+'S&amp;D'!B26</f>
        <v>CNP</v>
      </c>
      <c r="C20" s="93" t="str">
        <f>+'S&amp;D'!C26</f>
        <v>Electric Utility - Cent</v>
      </c>
      <c r="D20" s="62">
        <f>+'S&amp;D'!G26</f>
        <v>29.99</v>
      </c>
      <c r="E20" s="64">
        <v>1.38</v>
      </c>
      <c r="F20" s="68">
        <f t="shared" si="1"/>
        <v>4.6015338446148718E-2</v>
      </c>
      <c r="G20" s="64">
        <v>1.5</v>
      </c>
      <c r="H20" s="68">
        <f t="shared" si="2"/>
        <v>5.0016672224074694E-2</v>
      </c>
      <c r="I20" s="64">
        <v>1.85</v>
      </c>
      <c r="J20" s="68">
        <f t="shared" si="3"/>
        <v>6.168722907635879E-2</v>
      </c>
      <c r="K20" s="327">
        <f t="shared" si="0"/>
        <v>7.2408274971908354E-2</v>
      </c>
    </row>
    <row r="21" spans="1:11" ht="15.75">
      <c r="A21" s="65" t="str">
        <f>+'S&amp;D'!A27</f>
        <v>CMS Energy</v>
      </c>
      <c r="B21" s="93" t="str">
        <f>+'S&amp;D'!B27</f>
        <v>CMS</v>
      </c>
      <c r="C21" s="93" t="str">
        <f>+'S&amp;D'!C27</f>
        <v>Electric Utility - Cent</v>
      </c>
      <c r="D21" s="62">
        <f>+'S&amp;D'!G27</f>
        <v>63.33</v>
      </c>
      <c r="E21" s="64">
        <v>2.84</v>
      </c>
      <c r="F21" s="68">
        <f t="shared" si="1"/>
        <v>4.4844465498184112E-2</v>
      </c>
      <c r="G21" s="64">
        <v>3.05</v>
      </c>
      <c r="H21" s="68">
        <f t="shared" si="2"/>
        <v>4.8160429496289278E-2</v>
      </c>
      <c r="I21" s="64">
        <v>3.75</v>
      </c>
      <c r="J21" s="68">
        <f t="shared" si="3"/>
        <v>5.9213642823306489E-2</v>
      </c>
      <c r="K21" s="327">
        <f t="shared" si="0"/>
        <v>7.1298448938947684E-2</v>
      </c>
    </row>
    <row r="22" spans="1:11" ht="15.75">
      <c r="A22" s="65" t="str">
        <f>+'S&amp;D'!A28</f>
        <v>DTE Energy</v>
      </c>
      <c r="B22" s="93" t="str">
        <f>+'S&amp;D'!B28</f>
        <v>DTE</v>
      </c>
      <c r="C22" s="93" t="str">
        <f>+'S&amp;D'!C28</f>
        <v>Electric Utility - Cent</v>
      </c>
      <c r="D22" s="62">
        <f>+'S&amp;D'!G28</f>
        <v>117.53</v>
      </c>
      <c r="E22" s="64">
        <v>5.52</v>
      </c>
      <c r="F22" s="68">
        <f t="shared" si="1"/>
        <v>4.6966731898238745E-2</v>
      </c>
      <c r="G22" s="64">
        <v>6.25</v>
      </c>
      <c r="H22" s="68">
        <f t="shared" si="2"/>
        <v>5.3177912022462352E-2</v>
      </c>
      <c r="I22" s="64">
        <v>8.3000000000000007</v>
      </c>
      <c r="J22" s="68">
        <f t="shared" si="3"/>
        <v>7.0620267165830003E-2</v>
      </c>
      <c r="K22" s="327">
        <f t="shared" si="0"/>
        <v>9.9172932019005636E-2</v>
      </c>
    </row>
    <row r="23" spans="1:11" ht="15.75">
      <c r="A23" s="65" t="str">
        <f>+'S&amp;D'!A29</f>
        <v>Duke Energy</v>
      </c>
      <c r="B23" s="93" t="str">
        <f>+'S&amp;D'!B29</f>
        <v>DUK</v>
      </c>
      <c r="C23" s="93" t="str">
        <f>+'S&amp;D'!C29</f>
        <v>Electric Utility - East</v>
      </c>
      <c r="D23" s="62">
        <f>+'S&amp;D'!G29</f>
        <v>102.99</v>
      </c>
      <c r="E23" s="64">
        <v>5.3</v>
      </c>
      <c r="F23" s="68">
        <f t="shared" si="1"/>
        <v>5.1461306923002235E-2</v>
      </c>
      <c r="G23" s="64">
        <v>5.75</v>
      </c>
      <c r="H23" s="68">
        <f t="shared" si="2"/>
        <v>5.5830663171181669E-2</v>
      </c>
      <c r="I23" s="64">
        <v>6.8</v>
      </c>
      <c r="J23" s="68">
        <f t="shared" si="3"/>
        <v>6.6025827750267024E-2</v>
      </c>
      <c r="K23" s="327">
        <f t="shared" si="0"/>
        <v>5.7499951199165789E-2</v>
      </c>
    </row>
    <row r="24" spans="1:11" ht="15.75">
      <c r="A24" s="65" t="str">
        <f>+'S&amp;D'!A30</f>
        <v>Entergy Corp</v>
      </c>
      <c r="B24" s="93" t="str">
        <f>+'S&amp;D'!B30</f>
        <v>ETR</v>
      </c>
      <c r="C24" s="93" t="str">
        <f>+'S&amp;D'!C30</f>
        <v>Electric Utility - Cent</v>
      </c>
      <c r="D24" s="62">
        <f>+'S&amp;D'!G30</f>
        <v>112.5</v>
      </c>
      <c r="E24" s="64">
        <v>5.37</v>
      </c>
      <c r="F24" s="68">
        <f t="shared" si="1"/>
        <v>4.7733333333333336E-2</v>
      </c>
      <c r="G24" s="64">
        <v>5.85</v>
      </c>
      <c r="H24" s="68">
        <f t="shared" si="2"/>
        <v>5.1999999999999998E-2</v>
      </c>
      <c r="I24" s="64">
        <v>6.5</v>
      </c>
      <c r="J24" s="68">
        <f t="shared" si="3"/>
        <v>5.7777777777777775E-2</v>
      </c>
      <c r="K24" s="327">
        <f t="shared" si="0"/>
        <v>3.5744168651286386E-2</v>
      </c>
    </row>
    <row r="25" spans="1:11" ht="15.75">
      <c r="A25" s="65" t="str">
        <f>+'S&amp;D'!A31</f>
        <v>Evergy Inc</v>
      </c>
      <c r="B25" s="93" t="str">
        <f>+'S&amp;D'!B31</f>
        <v>EVRG</v>
      </c>
      <c r="C25" s="93" t="str">
        <f>+'S&amp;D'!C31</f>
        <v>Electric Utility - Cent</v>
      </c>
      <c r="D25" s="62">
        <f>+'S&amp;D'!G31</f>
        <v>62.93</v>
      </c>
      <c r="E25" s="64">
        <v>3.26</v>
      </c>
      <c r="F25" s="68">
        <f t="shared" si="1"/>
        <v>5.1803591291911644E-2</v>
      </c>
      <c r="G25" s="64">
        <v>3.6</v>
      </c>
      <c r="H25" s="68">
        <f t="shared" si="2"/>
        <v>5.7206419831558879E-2</v>
      </c>
      <c r="I25" s="64">
        <v>4.8499999999999996</v>
      </c>
      <c r="J25" s="68">
        <f t="shared" si="3"/>
        <v>7.7069760050850145E-2</v>
      </c>
      <c r="K25" s="327">
        <f t="shared" si="0"/>
        <v>0.10445089791277826</v>
      </c>
    </row>
    <row r="26" spans="1:11" ht="15.75">
      <c r="A26" s="65" t="str">
        <f>+'S&amp;D'!A32</f>
        <v>FirstEnergy Corp</v>
      </c>
      <c r="B26" s="93" t="str">
        <f>+'S&amp;D'!B32</f>
        <v>FE</v>
      </c>
      <c r="C26" s="93" t="str">
        <f>+'S&amp;D'!C32</f>
        <v>Electric Utility - East</v>
      </c>
      <c r="D26" s="62">
        <f>+'S&amp;D'!G32</f>
        <v>41.94</v>
      </c>
      <c r="E26" s="64">
        <v>2.4500000000000002</v>
      </c>
      <c r="F26" s="68">
        <f t="shared" si="1"/>
        <v>5.8416785884597054E-2</v>
      </c>
      <c r="G26" s="64">
        <v>2.5499999999999998</v>
      </c>
      <c r="H26" s="68">
        <f t="shared" si="2"/>
        <v>6.0801144492131615E-2</v>
      </c>
      <c r="I26" s="64">
        <v>3.1</v>
      </c>
      <c r="J26" s="68">
        <f t="shared" si="3"/>
        <v>7.391511683357177E-2</v>
      </c>
      <c r="K26" s="327">
        <f t="shared" si="0"/>
        <v>6.7268859312017676E-2</v>
      </c>
    </row>
    <row r="27" spans="1:11" ht="15.75">
      <c r="A27" s="65" t="str">
        <f>+'S&amp;D'!A33</f>
        <v>OGE Energy Corp.</v>
      </c>
      <c r="B27" s="93" t="str">
        <f>+'S&amp;D'!B33</f>
        <v>OGE</v>
      </c>
      <c r="C27" s="93" t="str">
        <f>+'S&amp;D'!C33</f>
        <v>Electric Utility - Cent</v>
      </c>
      <c r="D27" s="62">
        <f>+'S&amp;D'!G33</f>
        <v>39.549999999999997</v>
      </c>
      <c r="E27" s="64">
        <v>2.25</v>
      </c>
      <c r="F27" s="68">
        <f t="shared" si="1"/>
        <v>5.6890012642225034E-2</v>
      </c>
      <c r="G27" s="64">
        <v>2.0499999999999998</v>
      </c>
      <c r="H27" s="68">
        <f t="shared" si="2"/>
        <v>5.1833122629582805E-2</v>
      </c>
      <c r="I27" s="64">
        <v>3.15</v>
      </c>
      <c r="J27" s="68">
        <f t="shared" si="3"/>
        <v>7.9646017699115043E-2</v>
      </c>
      <c r="K27" s="327">
        <f t="shared" si="0"/>
        <v>0.15394620770898468</v>
      </c>
    </row>
    <row r="28" spans="1:11" ht="15.75">
      <c r="A28" s="65" t="str">
        <f>+'S&amp;D'!A34</f>
        <v>Otter Tail Corp</v>
      </c>
      <c r="B28" s="93" t="str">
        <f>+'S&amp;D'!B34</f>
        <v>OTTR</v>
      </c>
      <c r="C28" s="93" t="str">
        <f>+'S&amp;D'!C34</f>
        <v>Electric Utility - Cent</v>
      </c>
      <c r="D28" s="62">
        <f>+'S&amp;D'!G34</f>
        <v>58.71</v>
      </c>
      <c r="E28" s="64">
        <v>6.78</v>
      </c>
      <c r="F28" s="68">
        <f t="shared" si="1"/>
        <v>0.11548288196218702</v>
      </c>
      <c r="G28" s="64">
        <v>4</v>
      </c>
      <c r="H28" s="68">
        <f t="shared" si="2"/>
        <v>6.8131493783001193E-2</v>
      </c>
      <c r="I28" s="64">
        <v>3.65</v>
      </c>
      <c r="J28" s="68">
        <f t="shared" si="3"/>
        <v>6.2169988076988585E-2</v>
      </c>
      <c r="K28" s="327">
        <f t="shared" si="0"/>
        <v>-3.0061292708352113E-2</v>
      </c>
    </row>
    <row r="29" spans="1:11" ht="15.75">
      <c r="A29" s="65" t="str">
        <f>+'S&amp;D'!A35</f>
        <v>PPL Corporation</v>
      </c>
      <c r="B29" s="93" t="str">
        <f>+'S&amp;D'!B35</f>
        <v>PPL</v>
      </c>
      <c r="C29" s="93" t="str">
        <f>+'S&amp;D'!C35</f>
        <v>Electric Utility - East</v>
      </c>
      <c r="D29" s="62">
        <f>+'S&amp;D'!G35</f>
        <v>29.22</v>
      </c>
      <c r="E29" s="64">
        <v>1.48</v>
      </c>
      <c r="F29" s="68">
        <f t="shared" si="1"/>
        <v>5.0650239561943873E-2</v>
      </c>
      <c r="G29" s="64">
        <v>1.6</v>
      </c>
      <c r="H29" s="68">
        <f t="shared" si="2"/>
        <v>5.475701574264203E-2</v>
      </c>
      <c r="I29" s="64">
        <v>2.1</v>
      </c>
      <c r="J29" s="68">
        <f t="shared" si="3"/>
        <v>7.186858316221767E-2</v>
      </c>
      <c r="K29" s="327">
        <f t="shared" si="0"/>
        <v>9.4879784971972345E-2</v>
      </c>
    </row>
    <row r="30" spans="1:11" ht="15.75">
      <c r="A30" s="65" t="str">
        <f>+'S&amp;D'!A36</f>
        <v>The Southern Company</v>
      </c>
      <c r="B30" s="93" t="str">
        <f>+'S&amp;D'!B36</f>
        <v>SO</v>
      </c>
      <c r="C30" s="93" t="str">
        <f>+'S&amp;D'!C36</f>
        <v>Electric Utility - East</v>
      </c>
      <c r="D30" s="62">
        <f>+'S&amp;D'!G36</f>
        <v>71.41</v>
      </c>
      <c r="E30" s="64">
        <v>3.55</v>
      </c>
      <c r="F30" s="68">
        <f t="shared" si="1"/>
        <v>4.9712925360593754E-2</v>
      </c>
      <c r="G30" s="64">
        <v>3.7</v>
      </c>
      <c r="H30" s="68">
        <f t="shared" si="2"/>
        <v>5.1813471502590677E-2</v>
      </c>
      <c r="I30" s="64">
        <v>5.15</v>
      </c>
      <c r="J30" s="68">
        <f t="shared" si="3"/>
        <v>7.2118750875227566E-2</v>
      </c>
      <c r="K30" s="327">
        <f t="shared" si="0"/>
        <v>0.11652512828061469</v>
      </c>
    </row>
    <row r="31" spans="1:11" ht="15.75">
      <c r="A31" s="65" t="str">
        <f>+'S&amp;D'!A37</f>
        <v>WEC Energy Group</v>
      </c>
      <c r="B31" s="93" t="str">
        <f>+'S&amp;D'!B37</f>
        <v>WEC</v>
      </c>
      <c r="C31" s="93" t="str">
        <f>+'S&amp;D'!C37</f>
        <v>Electric Utility - Cent</v>
      </c>
      <c r="D31" s="62">
        <f>+'S&amp;D'!G37</f>
        <v>93.76</v>
      </c>
      <c r="E31" s="64">
        <v>4.45</v>
      </c>
      <c r="F31" s="68">
        <f t="shared" si="1"/>
        <v>4.7461604095563138E-2</v>
      </c>
      <c r="G31" s="64">
        <v>4.5999999999999996</v>
      </c>
      <c r="H31" s="68">
        <f t="shared" si="2"/>
        <v>4.906143344709897E-2</v>
      </c>
      <c r="I31" s="64">
        <v>5.9</v>
      </c>
      <c r="J31" s="68">
        <f t="shared" si="3"/>
        <v>6.2926621160409563E-2</v>
      </c>
      <c r="K31" s="327">
        <f t="shared" si="0"/>
        <v>8.6504159591212298E-2</v>
      </c>
    </row>
    <row r="32" spans="1:11" ht="15.75" thickBot="1">
      <c r="A32" s="13"/>
      <c r="B32" s="13"/>
      <c r="C32" s="45"/>
      <c r="D32" s="48"/>
      <c r="E32" s="48"/>
      <c r="F32" s="48"/>
      <c r="G32" s="48"/>
      <c r="H32" s="48"/>
      <c r="I32" s="48"/>
      <c r="J32" s="48"/>
      <c r="K32" s="48"/>
    </row>
    <row r="33" spans="1:11" ht="15.75" thickTop="1">
      <c r="A33" s="13"/>
      <c r="B33" s="13"/>
      <c r="D33" s="15" t="s">
        <v>65</v>
      </c>
      <c r="E33" s="17">
        <v>6.78</v>
      </c>
      <c r="F33" s="323">
        <v>0.11550000000000001</v>
      </c>
      <c r="G33" s="17">
        <v>6.25</v>
      </c>
      <c r="H33" s="323">
        <v>6.8099999999999994E-2</v>
      </c>
      <c r="I33" s="17">
        <v>8.3000000000000007</v>
      </c>
      <c r="J33" s="323">
        <v>7.9600000000000004E-2</v>
      </c>
      <c r="K33" s="323">
        <v>0.15390000000000001</v>
      </c>
    </row>
    <row r="34" spans="1:11">
      <c r="A34" s="13"/>
      <c r="B34" s="13"/>
      <c r="D34" s="15" t="s">
        <v>66</v>
      </c>
      <c r="E34" s="329">
        <v>1.38</v>
      </c>
      <c r="F34" s="324">
        <v>4.48E-2</v>
      </c>
      <c r="G34" s="329">
        <v>1.5</v>
      </c>
      <c r="H34" s="324">
        <v>4.82E-2</v>
      </c>
      <c r="I34" s="329">
        <v>1.85</v>
      </c>
      <c r="J34" s="324">
        <v>5.7799999999999997E-2</v>
      </c>
      <c r="K34" s="324">
        <v>-3.0099999999999998E-2</v>
      </c>
    </row>
    <row r="35" spans="1:11">
      <c r="A35" s="13"/>
      <c r="B35" s="13"/>
      <c r="D35" s="15" t="s">
        <v>18</v>
      </c>
      <c r="E35" s="18">
        <f t="shared" ref="E35:K35" si="4">MEDIAN(E16:E31)</f>
        <v>3.4649999999999999</v>
      </c>
      <c r="F35" s="57">
        <f t="shared" si="4"/>
        <v>4.9580244603861449E-2</v>
      </c>
      <c r="G35" s="18">
        <f t="shared" si="4"/>
        <v>3.7750000000000004</v>
      </c>
      <c r="H35" s="57">
        <f t="shared" si="4"/>
        <v>5.2852314098534199E-2</v>
      </c>
      <c r="I35" s="18">
        <f t="shared" si="4"/>
        <v>4.9249999999999998</v>
      </c>
      <c r="J35" s="57">
        <f t="shared" si="4"/>
        <v>6.9724189007656895E-2</v>
      </c>
      <c r="K35" s="57">
        <f t="shared" si="4"/>
        <v>8.4864208476051473E-2</v>
      </c>
    </row>
    <row r="36" spans="1:11">
      <c r="A36" s="13"/>
      <c r="B36" s="13"/>
      <c r="D36" s="15" t="s">
        <v>466</v>
      </c>
      <c r="E36" s="22">
        <f t="shared" ref="E36:K36" si="5">AVERAGE(E16:E31)</f>
        <v>3.711875</v>
      </c>
      <c r="F36" s="59">
        <f t="shared" si="5"/>
        <v>5.3958696639937798E-2</v>
      </c>
      <c r="G36" s="22">
        <f t="shared" si="5"/>
        <v>3.8156249999999998</v>
      </c>
      <c r="H36" s="59">
        <f t="shared" si="5"/>
        <v>5.4461724587961641E-2</v>
      </c>
      <c r="I36" s="22">
        <f t="shared" si="5"/>
        <v>4.7625000000000002</v>
      </c>
      <c r="J36" s="59">
        <f t="shared" si="5"/>
        <v>6.84278155103102E-2</v>
      </c>
      <c r="K36" s="59">
        <f t="shared" si="5"/>
        <v>7.945868142385297E-2</v>
      </c>
    </row>
    <row r="37" spans="1:11">
      <c r="A37" s="13"/>
      <c r="B37" s="13"/>
      <c r="D37" s="13"/>
      <c r="E37" s="13"/>
      <c r="F37" s="13"/>
      <c r="G37" s="13"/>
      <c r="H37" s="13"/>
      <c r="I37" s="13"/>
      <c r="J37" s="13"/>
      <c r="K37" s="13"/>
    </row>
    <row r="38" spans="1:11" ht="20.25">
      <c r="A38" s="13"/>
      <c r="B38" s="13"/>
      <c r="C38" s="13"/>
      <c r="D38" s="13"/>
      <c r="E38" s="13"/>
      <c r="F38" s="51" t="s">
        <v>0</v>
      </c>
      <c r="G38" s="66" t="s">
        <v>0</v>
      </c>
      <c r="H38" s="13"/>
      <c r="I38" s="13"/>
      <c r="J38" s="13"/>
      <c r="K38" s="13"/>
    </row>
    <row r="39" spans="1:11" ht="18.75">
      <c r="A39" s="251" t="s">
        <v>326</v>
      </c>
    </row>
  </sheetData>
  <pageMargins left="0.25" right="0.25"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5A2FBA53-C559-4487-86BC-FD916B864D06}"/>
</file>

<file path=customXml/itemProps2.xml><?xml version="1.0" encoding="utf-8"?>
<ds:datastoreItem xmlns:ds="http://schemas.openxmlformats.org/officeDocument/2006/customXml" ds:itemID="{81EB8697-844B-4CD2-BA37-FD7BAF5AE614}"/>
</file>

<file path=customXml/itemProps3.xml><?xml version="1.0" encoding="utf-8"?>
<ds:datastoreItem xmlns:ds="http://schemas.openxmlformats.org/officeDocument/2006/customXml" ds:itemID="{2C2B17EC-BCB8-490C-93F4-C0DADE103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Dividend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Dividend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2023-05-30T14:17:04Z</cp:lastPrinted>
  <dcterms:created xsi:type="dcterms:W3CDTF">2016-02-12T19:29:24Z</dcterms:created>
  <dcterms:modified xsi:type="dcterms:W3CDTF">2023-06-05T15:13:06Z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